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comments4.xml" ContentType="application/vnd.openxmlformats-officedocument.spreadsheetml.comments+xml"/>
  <Override PartName="/xl/threadedComments/threadedComment4.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codeName="ThisWorkbook"/>
  <mc:AlternateContent xmlns:mc="http://schemas.openxmlformats.org/markup-compatibility/2006">
    <mc:Choice Requires="x15">
      <x15ac:absPath xmlns:x15ac="http://schemas.microsoft.com/office/spreadsheetml/2010/11/ac" url="C:\Users\kasahara.ryuji\Dropbox\02_仕事\★ SPIMS-J2 (all) ★ (1)\20_Output 2 Project Formulation and Approval\2_02 Activity 2-2 Training Materials  (inc. video, manual)\34_cba\handbook\Revised in 25-04-2024\"/>
    </mc:Choice>
  </mc:AlternateContent>
  <xr:revisionPtr revIDLastSave="0" documentId="8_{D853CB33-C8B3-4A38-9185-5DC2DD0ACAB1}" xr6:coauthVersionLast="47" xr6:coauthVersionMax="47" xr10:uidLastSave="{00000000-0000-0000-0000-000000000000}"/>
  <bookViews>
    <workbookView xWindow="28680" yWindow="-3645" windowWidth="29040" windowHeight="15840" tabRatio="871" activeTab="1" xr2:uid="{00000000-000D-0000-FFFF-FFFF00000000}"/>
  </bookViews>
  <sheets>
    <sheet name="0.Contents" sheetId="72" r:id="rId1"/>
    <sheet name="1.Params_8.Sensitivity" sheetId="58" r:id="rId2"/>
    <sheet name="2a.FCosts" sheetId="71" r:id="rId3"/>
    <sheet name="2b.FCosts" sheetId="59" r:id="rId4"/>
    <sheet name="3.FBenefits" sheetId="62" r:id="rId5"/>
    <sheet name="4a.FAnalysis" sheetId="57" r:id="rId6"/>
    <sheet name="4b.FAnalysis" sheetId="73" r:id="rId7"/>
    <sheet name="5.ECosts" sheetId="64" r:id="rId8"/>
    <sheet name="6.EBenefits" sheetId="65" r:id="rId9"/>
    <sheet name="7a.EAnalysis" sheetId="66" r:id="rId10"/>
    <sheet name="7b.EAnalysis" sheetId="74" r:id="rId11"/>
    <sheet name="9.Results" sheetId="67" r:id="rId12"/>
  </sheets>
  <definedNames>
    <definedName name="_____a70000">#REF!</definedName>
    <definedName name="_____a80000">#REF!</definedName>
    <definedName name="___a70000">#REF!</definedName>
    <definedName name="___a80000">#REF!</definedName>
    <definedName name="_a70000">#REF!</definedName>
    <definedName name="_a80000">#REF!</definedName>
    <definedName name="_Fill" hidden="1">#REF!</definedName>
    <definedName name="\s">#REF!</definedName>
    <definedName name="aaaaa">#REF!</definedName>
    <definedName name="annx">#REF!</definedName>
    <definedName name="asd">#REF!</definedName>
    <definedName name="B380M">#REF!</definedName>
    <definedName name="Basic">#REF!</definedName>
    <definedName name="Basicpp">#REF!</definedName>
    <definedName name="BCR_FINANCIAL_">#N/A</definedName>
    <definedName name="CAPITAL_BCR_">#N/A</definedName>
    <definedName name="ESTIMATED_COST">#N/A</definedName>
    <definedName name="gfh">#REF!</definedName>
    <definedName name="HTML_CodePage" hidden="1">1252</definedName>
    <definedName name="HTML_Control" hidden="1">{"'Sheet1'!$B$6:$C$39","'Sheet1'!$B$6:$C$39","'Sheet1'!$M$9"}</definedName>
    <definedName name="HTML_Description" hidden="1">""</definedName>
    <definedName name="HTML_Email" hidden="1">""</definedName>
    <definedName name="HTML_Header" hidden="1">"Sheet1"</definedName>
    <definedName name="HTML_LastUpdate" hidden="1">"11/13/03"</definedName>
    <definedName name="HTML_LineAfter" hidden="1">FALSE</definedName>
    <definedName name="HTML_LineBefore" hidden="1">FALSE</definedName>
    <definedName name="HTML_Name" hidden="1">"Ulysses R. Gotera"</definedName>
    <definedName name="HTML_OBDlg2" hidden="1">TRUE</definedName>
    <definedName name="HTML_OBDlg4" hidden="1">TRUE</definedName>
    <definedName name="HTML_OS" hidden="1">0</definedName>
    <definedName name="HTML_PathFile" hidden="1">"C:\My Documents\MyHTML.htm"</definedName>
    <definedName name="HTML_Title" hidden="1">"Top_August_2003"</definedName>
    <definedName name="INPUT_TABLE">#REF!</definedName>
    <definedName name="INTEREST">#REF!</definedName>
    <definedName name="OPERATING_BCR_">#REF!</definedName>
    <definedName name="OPERATING_TABLE">#N/A</definedName>
    <definedName name="parul" hidden="1">#REF!</definedName>
    <definedName name="Parul_Monir">#REF!</definedName>
    <definedName name="Print_Area_MI">#REF!</definedName>
    <definedName name="REVENUE">#N/A</definedName>
    <definedName name="REVENUE_TABLE">#N/A</definedName>
    <definedName name="table">#REF!</definedName>
    <definedName name="TABLE_C">#N/A</definedName>
    <definedName name="TABLE_E">#REF!</definedName>
    <definedName name="TABLE_F">#REF!</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8" i="64" l="1"/>
  <c r="A1" i="64"/>
  <c r="F22" i="65"/>
  <c r="E22" i="65"/>
  <c r="E6" i="65"/>
  <c r="F23" i="65"/>
  <c r="E23" i="65"/>
  <c r="E34" i="74" l="1"/>
  <c r="E33" i="74"/>
  <c r="E32" i="74"/>
  <c r="E31" i="74"/>
  <c r="E30" i="74"/>
  <c r="E29" i="74"/>
  <c r="E28" i="74"/>
  <c r="E27" i="74"/>
  <c r="E26" i="74"/>
  <c r="E25" i="74"/>
  <c r="E24" i="74"/>
  <c r="E23" i="74"/>
  <c r="E22" i="74"/>
  <c r="E21" i="74"/>
  <c r="E20" i="74"/>
  <c r="E19" i="74"/>
  <c r="E18" i="74"/>
  <c r="E17" i="74"/>
  <c r="E16" i="74"/>
  <c r="E15" i="74"/>
  <c r="E14" i="74"/>
  <c r="E13" i="74"/>
  <c r="E12" i="74"/>
  <c r="E11" i="74"/>
  <c r="E10" i="74"/>
  <c r="E34" i="73"/>
  <c r="E33" i="73"/>
  <c r="E32" i="73"/>
  <c r="E31" i="73"/>
  <c r="E30" i="73"/>
  <c r="E29" i="73"/>
  <c r="E28" i="73"/>
  <c r="E27" i="73"/>
  <c r="E26" i="73"/>
  <c r="E25" i="73"/>
  <c r="E24" i="73"/>
  <c r="E23" i="73"/>
  <c r="E22" i="73"/>
  <c r="E21" i="73"/>
  <c r="E20" i="73"/>
  <c r="E19" i="73"/>
  <c r="E18" i="73"/>
  <c r="E17" i="73"/>
  <c r="E16" i="73"/>
  <c r="E15" i="73"/>
  <c r="E14" i="73"/>
  <c r="E13" i="73"/>
  <c r="E12" i="73"/>
  <c r="E11" i="73"/>
  <c r="E10" i="73"/>
  <c r="B19" i="71" l="1"/>
  <c r="B18" i="71"/>
  <c r="B14" i="59"/>
  <c r="B17" i="64"/>
  <c r="B13" i="59"/>
  <c r="E19" i="59" l="1"/>
  <c r="D19" i="59"/>
  <c r="C19" i="59"/>
  <c r="C5" i="59"/>
  <c r="C12" i="59"/>
  <c r="C20" i="59" s="1"/>
  <c r="C8" i="64"/>
  <c r="C23" i="64" l="1"/>
  <c r="D10" i="64"/>
  <c r="I10" i="64" s="1"/>
  <c r="D11" i="64"/>
  <c r="I11" i="64" s="1"/>
  <c r="D12" i="64"/>
  <c r="I12" i="64" s="1"/>
  <c r="D13" i="64"/>
  <c r="I13" i="64" s="1"/>
  <c r="D14" i="64"/>
  <c r="I14" i="64" s="1"/>
  <c r="D15" i="64"/>
  <c r="D8" i="64"/>
  <c r="C10" i="64"/>
  <c r="C11" i="64"/>
  <c r="C12" i="64"/>
  <c r="C13" i="64"/>
  <c r="C14" i="64"/>
  <c r="C15" i="64"/>
  <c r="I9" i="64" l="1"/>
  <c r="F19" i="59" l="1"/>
  <c r="G19" i="59" l="1"/>
  <c r="E23" i="64" s="1"/>
  <c r="D23" i="64"/>
  <c r="F12" i="59"/>
  <c r="E12" i="59"/>
  <c r="D12" i="59"/>
  <c r="O17" i="71"/>
  <c r="H18" i="71"/>
  <c r="H19" i="71"/>
  <c r="D13" i="59" l="1"/>
  <c r="D20" i="59"/>
  <c r="C16" i="64"/>
  <c r="F20" i="59"/>
  <c r="D24" i="64" s="1"/>
  <c r="I24" i="64" s="1"/>
  <c r="D16" i="64"/>
  <c r="E14" i="59"/>
  <c r="E20" i="59"/>
  <c r="E13" i="59"/>
  <c r="C14" i="59"/>
  <c r="C22" i="59" s="1"/>
  <c r="D14" i="59"/>
  <c r="F14" i="59"/>
  <c r="C13" i="59"/>
  <c r="C21" i="59" s="1"/>
  <c r="F13" i="59"/>
  <c r="H20" i="71"/>
  <c r="G20" i="59" l="1"/>
  <c r="E24" i="64" s="1"/>
  <c r="C24" i="64"/>
  <c r="F22" i="59"/>
  <c r="D26" i="64" s="1"/>
  <c r="D18" i="64"/>
  <c r="F21" i="59"/>
  <c r="D17" i="64"/>
  <c r="I17" i="64" s="1"/>
  <c r="C17" i="64"/>
  <c r="C18" i="64"/>
  <c r="E15" i="59"/>
  <c r="F15" i="59"/>
  <c r="C15" i="59"/>
  <c r="C23" i="59" s="1"/>
  <c r="D15" i="59"/>
  <c r="F23" i="59" l="1"/>
  <c r="D27" i="64" s="1"/>
  <c r="D19" i="64"/>
  <c r="D25" i="64"/>
  <c r="I25" i="64" s="1"/>
  <c r="I28" i="64" s="1"/>
  <c r="C19" i="64"/>
  <c r="F24" i="59"/>
  <c r="D28" i="64" s="1"/>
  <c r="C24" i="59" l="1"/>
  <c r="H52" i="64"/>
  <c r="I52" i="64"/>
  <c r="J52" i="64"/>
  <c r="K52" i="64"/>
  <c r="L52" i="64"/>
  <c r="A1" i="67"/>
  <c r="A1" i="74"/>
  <c r="A1" i="66"/>
  <c r="A1" i="65"/>
  <c r="A1" i="73"/>
  <c r="A1" i="57"/>
  <c r="A1" i="62"/>
  <c r="A1" i="59"/>
  <c r="A1" i="71"/>
  <c r="A24" i="58"/>
  <c r="F1" i="58"/>
  <c r="A1" i="58"/>
  <c r="D38" i="74" l="1"/>
  <c r="D39" i="74"/>
  <c r="D37" i="74"/>
  <c r="N4" i="74" l="1"/>
  <c r="P2" i="74"/>
  <c r="B2" i="74"/>
  <c r="D38" i="73"/>
  <c r="D39" i="73"/>
  <c r="D37" i="73"/>
  <c r="M2" i="73"/>
  <c r="B2" i="73"/>
  <c r="K4" i="73"/>
  <c r="C3" i="64"/>
  <c r="H14" i="64" l="1"/>
  <c r="J14" i="64" s="1"/>
  <c r="H10" i="64"/>
  <c r="H12" i="64"/>
  <c r="J12" i="64" s="1"/>
  <c r="H13" i="64"/>
  <c r="J13" i="64" s="1"/>
  <c r="H24" i="64"/>
  <c r="H17" i="64"/>
  <c r="J17" i="64" s="1"/>
  <c r="E15" i="62"/>
  <c r="F15" i="62"/>
  <c r="G15" i="62"/>
  <c r="D15" i="62"/>
  <c r="C15" i="62"/>
  <c r="J10" i="64" l="1"/>
  <c r="J24" i="64"/>
  <c r="G57" i="65"/>
  <c r="H57" i="65"/>
  <c r="I57" i="65"/>
  <c r="J57" i="65"/>
  <c r="F57" i="65"/>
  <c r="B48" i="65"/>
  <c r="E48" i="65" s="1"/>
  <c r="B51" i="65"/>
  <c r="E51" i="65" s="1"/>
  <c r="B45" i="65"/>
  <c r="E45" i="65" s="1"/>
  <c r="C41" i="65"/>
  <c r="C40" i="65"/>
  <c r="I22" i="58" l="1"/>
  <c r="E8" i="65" s="1"/>
  <c r="E27" i="65" s="1"/>
  <c r="C5" i="62" l="1"/>
  <c r="C47" i="65" l="1"/>
  <c r="O15" i="71" l="1"/>
  <c r="O16" i="71"/>
  <c r="F16" i="59" l="1"/>
  <c r="D20" i="64" s="1"/>
  <c r="N18" i="71"/>
  <c r="N19" i="71"/>
  <c r="M19" i="71"/>
  <c r="L19" i="71"/>
  <c r="I19" i="71"/>
  <c r="J19" i="71"/>
  <c r="K19" i="71"/>
  <c r="M18" i="71"/>
  <c r="L18" i="71"/>
  <c r="K18" i="71"/>
  <c r="J18" i="71"/>
  <c r="I18" i="71"/>
  <c r="D21" i="59" s="1"/>
  <c r="O12" i="71"/>
  <c r="D22" i="59" l="1"/>
  <c r="E22" i="59"/>
  <c r="C26" i="64" s="1"/>
  <c r="E21" i="59"/>
  <c r="C25" i="64" s="1"/>
  <c r="H25" i="64" s="1"/>
  <c r="K20" i="71"/>
  <c r="J20" i="71"/>
  <c r="O18" i="71"/>
  <c r="L20" i="71"/>
  <c r="O19" i="71"/>
  <c r="N20" i="71"/>
  <c r="I20" i="71"/>
  <c r="M20" i="71"/>
  <c r="E23" i="59" s="1"/>
  <c r="E24" i="59" s="1"/>
  <c r="D23" i="59" l="1"/>
  <c r="J25" i="64"/>
  <c r="J28" i="64" s="1"/>
  <c r="H28" i="64"/>
  <c r="D24" i="59"/>
  <c r="C28" i="64" s="1"/>
  <c r="G23" i="59"/>
  <c r="C27" i="64"/>
  <c r="G21" i="59"/>
  <c r="E25" i="64" s="1"/>
  <c r="G22" i="59"/>
  <c r="E26" i="64" s="1"/>
  <c r="O20" i="71"/>
  <c r="G9" i="59"/>
  <c r="E13" i="64" s="1"/>
  <c r="G99" i="58"/>
  <c r="G91" i="58"/>
  <c r="F24" i="65"/>
  <c r="B5" i="62"/>
  <c r="B47" i="65" s="1"/>
  <c r="E47" i="65" s="1"/>
  <c r="C41" i="59"/>
  <c r="AH7" i="57" s="1"/>
  <c r="E25" i="65"/>
  <c r="C4" i="64"/>
  <c r="H11" i="64" s="1"/>
  <c r="F6" i="65"/>
  <c r="F5" i="65"/>
  <c r="B14" i="66"/>
  <c r="I99" i="58"/>
  <c r="I91" i="58"/>
  <c r="H99" i="58"/>
  <c r="H91" i="58"/>
  <c r="G4" i="59"/>
  <c r="I11" i="58"/>
  <c r="C45" i="59" s="1"/>
  <c r="E4" i="65"/>
  <c r="B4" i="62"/>
  <c r="B46" i="65" s="1"/>
  <c r="E46" i="65" s="1"/>
  <c r="E27" i="64" l="1"/>
  <c r="G24" i="59"/>
  <c r="E8" i="64"/>
  <c r="J11" i="64"/>
  <c r="J9" i="64" s="1"/>
  <c r="H9" i="64"/>
  <c r="C7" i="57"/>
  <c r="G4" i="73" s="1"/>
  <c r="G35" i="73"/>
  <c r="N3" i="74"/>
  <c r="C37" i="64"/>
  <c r="I13" i="58"/>
  <c r="I8" i="64"/>
  <c r="I16" i="64" s="1"/>
  <c r="I20" i="64" s="1"/>
  <c r="H28" i="59"/>
  <c r="G27" i="59" s="1"/>
  <c r="G6" i="59"/>
  <c r="G7" i="59"/>
  <c r="E11" i="64" s="1"/>
  <c r="G8" i="59"/>
  <c r="E12" i="64" s="1"/>
  <c r="G10" i="59"/>
  <c r="E14" i="64" s="1"/>
  <c r="D5" i="59"/>
  <c r="E5" i="59"/>
  <c r="C9" i="64" l="1"/>
  <c r="E28" i="64"/>
  <c r="H29" i="59"/>
  <c r="G5" i="59"/>
  <c r="E10" i="64"/>
  <c r="F4" i="65"/>
  <c r="C4" i="62"/>
  <c r="G11" i="59"/>
  <c r="E15" i="64" s="1"/>
  <c r="G14" i="59"/>
  <c r="E18" i="64" s="1"/>
  <c r="D16" i="59"/>
  <c r="E16" i="59"/>
  <c r="C16" i="59"/>
  <c r="G13" i="59"/>
  <c r="E17" i="64" s="1"/>
  <c r="C20" i="64" l="1"/>
  <c r="G12" i="59"/>
  <c r="C46" i="65"/>
  <c r="C12" i="62"/>
  <c r="G16" i="62" s="1"/>
  <c r="G15" i="59" l="1"/>
  <c r="E16" i="64"/>
  <c r="I35" i="58"/>
  <c r="I27" i="58"/>
  <c r="E19" i="64" l="1"/>
  <c r="G16" i="59"/>
  <c r="E20" i="64" s="1"/>
  <c r="I83" i="58"/>
  <c r="H83" i="58"/>
  <c r="G83" i="58"/>
  <c r="I75" i="58"/>
  <c r="H75" i="58"/>
  <c r="G75" i="58"/>
  <c r="I67" i="58"/>
  <c r="H67" i="58"/>
  <c r="G67" i="58"/>
  <c r="H59" i="58"/>
  <c r="I59" i="58"/>
  <c r="G59" i="58"/>
  <c r="I51" i="58"/>
  <c r="H51" i="58"/>
  <c r="G51" i="58"/>
  <c r="H43" i="58"/>
  <c r="G43" i="58"/>
  <c r="I43" i="58"/>
  <c r="I20" i="58" l="1"/>
  <c r="F25" i="65" s="1"/>
  <c r="F26" i="65" s="1"/>
  <c r="H56" i="59"/>
  <c r="I56" i="59" s="1"/>
  <c r="J56" i="59" s="1"/>
  <c r="K56" i="59" s="1"/>
  <c r="L56" i="59" s="1"/>
  <c r="M56" i="59" s="1"/>
  <c r="D43" i="64"/>
  <c r="I43" i="64" s="1"/>
  <c r="N56" i="59" l="1"/>
  <c r="F27" i="65"/>
  <c r="F28" i="65" s="1"/>
  <c r="C46" i="59"/>
  <c r="C43" i="64" s="1"/>
  <c r="H43" i="64" s="1"/>
  <c r="C54" i="65" l="1"/>
  <c r="F54" i="65" s="1"/>
  <c r="J58" i="65" s="1"/>
  <c r="O56" i="59"/>
  <c r="C16" i="62"/>
  <c r="O14" i="71"/>
  <c r="O10" i="71"/>
  <c r="O11" i="71"/>
  <c r="O9" i="71"/>
  <c r="B11" i="62"/>
  <c r="B53" i="65" s="1"/>
  <c r="E53" i="65" s="1"/>
  <c r="B10" i="62"/>
  <c r="B52" i="65" s="1"/>
  <c r="E52" i="65" s="1"/>
  <c r="H58" i="65" l="1"/>
  <c r="F9" i="66" s="1"/>
  <c r="I58" i="65"/>
  <c r="G9" i="66" s="1"/>
  <c r="H9" i="66"/>
  <c r="P56" i="59"/>
  <c r="P20" i="71"/>
  <c r="P17" i="71"/>
  <c r="P19" i="71"/>
  <c r="P18" i="71"/>
  <c r="P12" i="71"/>
  <c r="P16" i="71"/>
  <c r="P15" i="71"/>
  <c r="P9" i="71"/>
  <c r="P11" i="71"/>
  <c r="P10" i="71"/>
  <c r="P14" i="71"/>
  <c r="B7" i="62"/>
  <c r="B49" i="65" s="1"/>
  <c r="E49" i="65" s="1"/>
  <c r="B8" i="62"/>
  <c r="B50" i="65" s="1"/>
  <c r="E50" i="65" s="1"/>
  <c r="D42" i="64"/>
  <c r="I42" i="64" s="1"/>
  <c r="C42" i="64"/>
  <c r="H42" i="64" s="1"/>
  <c r="C47" i="59"/>
  <c r="C52" i="59" s="1"/>
  <c r="C49" i="64" s="1"/>
  <c r="D47" i="59"/>
  <c r="D52" i="59" s="1"/>
  <c r="E46" i="59"/>
  <c r="E43" i="64" s="1"/>
  <c r="E5" i="65"/>
  <c r="E24" i="65"/>
  <c r="I9" i="74" l="1"/>
  <c r="I7" i="74"/>
  <c r="I8" i="74"/>
  <c r="G58" i="65"/>
  <c r="E9" i="66" s="1"/>
  <c r="F58" i="65"/>
  <c r="D9" i="66" s="1"/>
  <c r="Q56" i="59"/>
  <c r="B11" i="57"/>
  <c r="H19" i="62"/>
  <c r="K61" i="65" s="1"/>
  <c r="K62" i="65" s="1"/>
  <c r="I9" i="66" s="1"/>
  <c r="I10" i="74" s="1"/>
  <c r="G31" i="65"/>
  <c r="G32" i="65" s="1"/>
  <c r="H31" i="65"/>
  <c r="H32" i="65" s="1"/>
  <c r="I31" i="65"/>
  <c r="I32" i="65" s="1"/>
  <c r="J31" i="65"/>
  <c r="J32" i="65" s="1"/>
  <c r="F31" i="65"/>
  <c r="F32" i="65" s="1"/>
  <c r="G12" i="65"/>
  <c r="H12" i="65"/>
  <c r="I12" i="65"/>
  <c r="J12" i="65"/>
  <c r="F12" i="65"/>
  <c r="M52" i="64"/>
  <c r="I5" i="74" l="1"/>
  <c r="I6" i="74"/>
  <c r="K3" i="73"/>
  <c r="R56" i="59"/>
  <c r="R19" i="62" s="1"/>
  <c r="U61" i="65" s="1"/>
  <c r="U62" i="65" s="1"/>
  <c r="S9" i="66" s="1"/>
  <c r="K35" i="65"/>
  <c r="K36" i="65" s="1"/>
  <c r="H20" i="62"/>
  <c r="K16" i="65"/>
  <c r="S52" i="64"/>
  <c r="O19" i="62"/>
  <c r="R61" i="65" s="1"/>
  <c r="R62" i="65" s="1"/>
  <c r="P9" i="66" s="1"/>
  <c r="O52" i="64"/>
  <c r="K19" i="62"/>
  <c r="N61" i="65" s="1"/>
  <c r="N62" i="65" s="1"/>
  <c r="L9" i="66" s="1"/>
  <c r="V52" i="64"/>
  <c r="N52" i="64"/>
  <c r="N19" i="62"/>
  <c r="Q61" i="65" s="1"/>
  <c r="Q62" i="65" s="1"/>
  <c r="O9" i="66" s="1"/>
  <c r="U52" i="64"/>
  <c r="M19" i="62"/>
  <c r="P61" i="65" s="1"/>
  <c r="P62" i="65" s="1"/>
  <c r="N9" i="66" s="1"/>
  <c r="T52" i="64"/>
  <c r="L19" i="62"/>
  <c r="O61" i="65" s="1"/>
  <c r="O62" i="65" s="1"/>
  <c r="M9" i="66" s="1"/>
  <c r="R52" i="64"/>
  <c r="J19" i="62"/>
  <c r="M61" i="65" s="1"/>
  <c r="M62" i="65" s="1"/>
  <c r="K9" i="66" s="1"/>
  <c r="Q52" i="64"/>
  <c r="Q19" i="62"/>
  <c r="T61" i="65" s="1"/>
  <c r="T62" i="65" s="1"/>
  <c r="R9" i="66" s="1"/>
  <c r="I19" i="62"/>
  <c r="P52" i="64"/>
  <c r="P19" i="62"/>
  <c r="S61" i="65" s="1"/>
  <c r="S62" i="65" s="1"/>
  <c r="Q9" i="66" s="1"/>
  <c r="I14" i="74" l="1"/>
  <c r="I16" i="74"/>
  <c r="I15" i="74"/>
  <c r="I12" i="74"/>
  <c r="I13" i="74"/>
  <c r="I20" i="74"/>
  <c r="I19" i="74"/>
  <c r="I18" i="74"/>
  <c r="I17" i="74"/>
  <c r="L35" i="65"/>
  <c r="L36" i="65" s="1"/>
  <c r="L61" i="65"/>
  <c r="L62" i="65" s="1"/>
  <c r="J9" i="66" s="1"/>
  <c r="W52" i="64"/>
  <c r="S56" i="59"/>
  <c r="L16" i="65"/>
  <c r="M16" i="65"/>
  <c r="M35" i="65"/>
  <c r="M36" i="65" s="1"/>
  <c r="I11" i="74" l="1"/>
  <c r="T56" i="59"/>
  <c r="X52" i="64"/>
  <c r="S19" i="62"/>
  <c r="N16" i="65"/>
  <c r="N35" i="65"/>
  <c r="N36" i="65" s="1"/>
  <c r="V61" i="65" l="1"/>
  <c r="V62" i="65" s="1"/>
  <c r="T9" i="66" s="1"/>
  <c r="U56" i="59"/>
  <c r="T19" i="62"/>
  <c r="W61" i="65" s="1"/>
  <c r="W62" i="65" s="1"/>
  <c r="U9" i="66" s="1"/>
  <c r="Y52" i="64"/>
  <c r="O16" i="65"/>
  <c r="O35" i="65"/>
  <c r="O36" i="65" s="1"/>
  <c r="I22" i="74" l="1"/>
  <c r="I21" i="74"/>
  <c r="V56" i="59"/>
  <c r="U19" i="62"/>
  <c r="X61" i="65" s="1"/>
  <c r="X62" i="65" s="1"/>
  <c r="V9" i="66" s="1"/>
  <c r="Z52" i="64"/>
  <c r="P16" i="65"/>
  <c r="P35" i="65"/>
  <c r="P36" i="65" s="1"/>
  <c r="I23" i="74" l="1"/>
  <c r="W56" i="59"/>
  <c r="AA52" i="64"/>
  <c r="V19" i="62"/>
  <c r="Y61" i="65" s="1"/>
  <c r="Y62" i="65" s="1"/>
  <c r="W9" i="66" s="1"/>
  <c r="Q16" i="65"/>
  <c r="Q35" i="65"/>
  <c r="Q36" i="65" s="1"/>
  <c r="I24" i="74" l="1"/>
  <c r="X56" i="59"/>
  <c r="W19" i="62"/>
  <c r="Z61" i="65" s="1"/>
  <c r="Z62" i="65" s="1"/>
  <c r="X9" i="66" s="1"/>
  <c r="AB52" i="64"/>
  <c r="R35" i="65"/>
  <c r="R36" i="65" s="1"/>
  <c r="R16" i="65"/>
  <c r="I25" i="74" l="1"/>
  <c r="Y56" i="59"/>
  <c r="AC52" i="64"/>
  <c r="X19" i="62"/>
  <c r="AA61" i="65" s="1"/>
  <c r="AA62" i="65" s="1"/>
  <c r="Y9" i="66" s="1"/>
  <c r="S35" i="65"/>
  <c r="S36" i="65" s="1"/>
  <c r="S16" i="65"/>
  <c r="I26" i="74" l="1"/>
  <c r="Z56" i="59"/>
  <c r="AD52" i="64"/>
  <c r="Y19" i="62"/>
  <c r="AB61" i="65" s="1"/>
  <c r="AB62" i="65" s="1"/>
  <c r="Z9" i="66" s="1"/>
  <c r="T35" i="65"/>
  <c r="T36" i="65" s="1"/>
  <c r="T16" i="65"/>
  <c r="I27" i="74" l="1"/>
  <c r="AA56" i="59"/>
  <c r="AE52" i="64"/>
  <c r="Z19" i="62"/>
  <c r="AC61" i="65" s="1"/>
  <c r="AC62" i="65" s="1"/>
  <c r="AA9" i="66" s="1"/>
  <c r="U16" i="65"/>
  <c r="U35" i="65"/>
  <c r="U36" i="65" s="1"/>
  <c r="I28" i="74" l="1"/>
  <c r="AB56" i="59"/>
  <c r="AA19" i="62"/>
  <c r="AD61" i="65" s="1"/>
  <c r="AD62" i="65" s="1"/>
  <c r="AB9" i="66" s="1"/>
  <c r="AF52" i="64"/>
  <c r="V16" i="65"/>
  <c r="V35" i="65"/>
  <c r="V36" i="65" s="1"/>
  <c r="I29" i="74" l="1"/>
  <c r="AC56" i="59"/>
  <c r="AB19" i="62"/>
  <c r="AE61" i="65" s="1"/>
  <c r="AE62" i="65" s="1"/>
  <c r="AC9" i="66" s="1"/>
  <c r="AG52" i="64"/>
  <c r="W16" i="65"/>
  <c r="W35" i="65"/>
  <c r="W36" i="65" s="1"/>
  <c r="I30" i="74" l="1"/>
  <c r="AD56" i="59"/>
  <c r="AC19" i="62"/>
  <c r="AF61" i="65" s="1"/>
  <c r="AF62" i="65" s="1"/>
  <c r="AD9" i="66" s="1"/>
  <c r="AH52" i="64"/>
  <c r="X16" i="65"/>
  <c r="X35" i="65"/>
  <c r="X36" i="65" s="1"/>
  <c r="I31" i="74" l="1"/>
  <c r="AE56" i="59"/>
  <c r="AI52" i="64"/>
  <c r="AD19" i="62"/>
  <c r="AG61" i="65" s="1"/>
  <c r="AG62" i="65" s="1"/>
  <c r="AE9" i="66" s="1"/>
  <c r="Y16" i="65"/>
  <c r="Y35" i="65"/>
  <c r="Y36" i="65" s="1"/>
  <c r="I32" i="74" l="1"/>
  <c r="AF56" i="59"/>
  <c r="AJ52" i="64"/>
  <c r="AE19" i="62"/>
  <c r="AH61" i="65" s="1"/>
  <c r="AH62" i="65" s="1"/>
  <c r="AF9" i="66" s="1"/>
  <c r="Z35" i="65"/>
  <c r="Z36" i="65" s="1"/>
  <c r="Z16" i="65"/>
  <c r="I33" i="74" l="1"/>
  <c r="AF19" i="62"/>
  <c r="AI61" i="65" s="1"/>
  <c r="AI62" i="65" s="1"/>
  <c r="AG9" i="66" s="1"/>
  <c r="AK52" i="64"/>
  <c r="AA35" i="65"/>
  <c r="AA36" i="65" s="1"/>
  <c r="AA16" i="65"/>
  <c r="I34" i="74" l="1"/>
  <c r="AB35" i="65"/>
  <c r="AB36" i="65" s="1"/>
  <c r="AB16" i="65"/>
  <c r="AC16" i="65" l="1"/>
  <c r="AC35" i="65"/>
  <c r="AC36" i="65" s="1"/>
  <c r="AD16" i="65" l="1"/>
  <c r="AD35" i="65"/>
  <c r="AD36" i="65" s="1"/>
  <c r="AE35" i="65" l="1"/>
  <c r="AE36" i="65" s="1"/>
  <c r="AE16" i="65"/>
  <c r="AF16" i="65" l="1"/>
  <c r="AF35" i="65"/>
  <c r="AF36" i="65" s="1"/>
  <c r="AG16" i="65" l="1"/>
  <c r="AG35" i="65"/>
  <c r="AG36" i="65" s="1"/>
  <c r="AH35" i="65" l="1"/>
  <c r="AH36" i="65" s="1"/>
  <c r="AH16" i="65"/>
  <c r="AI35" i="65" l="1"/>
  <c r="AI36" i="65" s="1"/>
  <c r="AI16" i="65"/>
  <c r="F7" i="65" l="1"/>
  <c r="D45" i="64"/>
  <c r="I45" i="64" s="1"/>
  <c r="D46" i="64"/>
  <c r="I46" i="64" s="1"/>
  <c r="D47" i="64"/>
  <c r="I47" i="64" s="1"/>
  <c r="D48" i="64"/>
  <c r="I48" i="64" s="1"/>
  <c r="C45" i="64"/>
  <c r="C46" i="64"/>
  <c r="C47" i="64"/>
  <c r="C48" i="64"/>
  <c r="I44" i="64" l="1"/>
  <c r="I49" i="64" s="1"/>
  <c r="F8" i="65"/>
  <c r="F9" i="65" s="1"/>
  <c r="AG14" i="66"/>
  <c r="AF14" i="66"/>
  <c r="AE14" i="66"/>
  <c r="AD14" i="66"/>
  <c r="AC14" i="66"/>
  <c r="AB14" i="66"/>
  <c r="AA14" i="66"/>
  <c r="Z14" i="66"/>
  <c r="Y14" i="66"/>
  <c r="X14" i="66"/>
  <c r="W14" i="66"/>
  <c r="V14" i="66"/>
  <c r="U14" i="66"/>
  <c r="T14" i="66"/>
  <c r="S14" i="66"/>
  <c r="R14" i="66"/>
  <c r="Q14" i="66"/>
  <c r="P14" i="66"/>
  <c r="O14" i="66"/>
  <c r="N14" i="66"/>
  <c r="M14" i="66"/>
  <c r="L14" i="66"/>
  <c r="K14" i="66"/>
  <c r="J14" i="66"/>
  <c r="I14" i="66"/>
  <c r="H14" i="66"/>
  <c r="G14" i="66"/>
  <c r="F14" i="66"/>
  <c r="E14" i="66"/>
  <c r="D14" i="66"/>
  <c r="AG11" i="57"/>
  <c r="E48" i="59"/>
  <c r="E45" i="64" s="1"/>
  <c r="E49" i="59"/>
  <c r="E46" i="64" s="1"/>
  <c r="E50" i="59"/>
  <c r="E47" i="64" s="1"/>
  <c r="E51" i="59"/>
  <c r="E48" i="64" s="1"/>
  <c r="E45" i="59"/>
  <c r="E42" i="64" s="1"/>
  <c r="D44" i="64"/>
  <c r="N23" i="74" l="1"/>
  <c r="K34" i="73"/>
  <c r="N34" i="74"/>
  <c r="N33" i="74"/>
  <c r="N32" i="74"/>
  <c r="N31" i="74"/>
  <c r="N30" i="74"/>
  <c r="N29" i="74"/>
  <c r="N28" i="74"/>
  <c r="N27" i="74"/>
  <c r="N26" i="74"/>
  <c r="N25" i="74"/>
  <c r="N24" i="74"/>
  <c r="N22" i="74"/>
  <c r="N21" i="74"/>
  <c r="N20" i="74"/>
  <c r="N19" i="74"/>
  <c r="N18" i="74"/>
  <c r="N17" i="74"/>
  <c r="N16" i="74"/>
  <c r="N15" i="74"/>
  <c r="N14" i="74"/>
  <c r="N13" i="74"/>
  <c r="N12" i="74"/>
  <c r="N11" i="74"/>
  <c r="N10" i="74"/>
  <c r="N9" i="74"/>
  <c r="N8" i="74"/>
  <c r="N7" i="74"/>
  <c r="N6" i="74"/>
  <c r="N5" i="74"/>
  <c r="AH18" i="57"/>
  <c r="K17" i="65"/>
  <c r="L17" i="65"/>
  <c r="T17" i="65"/>
  <c r="AB17" i="65"/>
  <c r="V17" i="65"/>
  <c r="W17" i="65"/>
  <c r="AE17" i="65"/>
  <c r="AF17" i="65"/>
  <c r="Y17" i="65"/>
  <c r="R17" i="65"/>
  <c r="AH17" i="65"/>
  <c r="M17" i="65"/>
  <c r="U17" i="65"/>
  <c r="AC17" i="65"/>
  <c r="AD17" i="65"/>
  <c r="P17" i="65"/>
  <c r="AG17" i="65"/>
  <c r="Z17" i="65"/>
  <c r="AA17" i="65"/>
  <c r="N17" i="65"/>
  <c r="Q17" i="65"/>
  <c r="S17" i="65"/>
  <c r="O17" i="65"/>
  <c r="X17" i="65"/>
  <c r="AI17" i="65"/>
  <c r="F13" i="65"/>
  <c r="G13" i="65"/>
  <c r="H13" i="65"/>
  <c r="J13" i="65"/>
  <c r="I13" i="65"/>
  <c r="H8" i="64"/>
  <c r="H37" i="64"/>
  <c r="AH7" i="66" s="1"/>
  <c r="G35" i="74" s="1"/>
  <c r="Y11" i="66"/>
  <c r="W11" i="66"/>
  <c r="F11" i="66"/>
  <c r="Q11" i="66"/>
  <c r="O11" i="66"/>
  <c r="AC11" i="66"/>
  <c r="I11" i="66"/>
  <c r="D11" i="66"/>
  <c r="AA11" i="66"/>
  <c r="U11" i="66"/>
  <c r="Z11" i="66"/>
  <c r="AF11" i="66"/>
  <c r="G11" i="66"/>
  <c r="M11" i="66"/>
  <c r="R11" i="66"/>
  <c r="X11" i="66"/>
  <c r="AD11" i="66"/>
  <c r="E11" i="66"/>
  <c r="J11" i="66"/>
  <c r="P11" i="66"/>
  <c r="V11" i="66"/>
  <c r="AB11" i="66"/>
  <c r="S11" i="66"/>
  <c r="H11" i="66"/>
  <c r="N11" i="66"/>
  <c r="T11" i="66"/>
  <c r="AG11" i="66"/>
  <c r="AE11" i="66"/>
  <c r="K11" i="66"/>
  <c r="L11" i="66"/>
  <c r="D16" i="62"/>
  <c r="E8" i="57" s="1"/>
  <c r="I8" i="57"/>
  <c r="H8" i="57"/>
  <c r="I20" i="62"/>
  <c r="J8" i="57" s="1"/>
  <c r="J20" i="62"/>
  <c r="K8" i="57" s="1"/>
  <c r="P20" i="62"/>
  <c r="Q8" i="57" s="1"/>
  <c r="O20" i="62"/>
  <c r="P8" i="57" s="1"/>
  <c r="K20" i="62"/>
  <c r="L8" i="57" s="1"/>
  <c r="L20" i="62"/>
  <c r="M8" i="57" s="1"/>
  <c r="M20" i="62"/>
  <c r="N8" i="57" s="1"/>
  <c r="N20" i="62"/>
  <c r="O8" i="57" s="1"/>
  <c r="Q20" i="62"/>
  <c r="R8" i="57" s="1"/>
  <c r="R20" i="62"/>
  <c r="S8" i="57" s="1"/>
  <c r="S20" i="62"/>
  <c r="T20" i="62"/>
  <c r="U8" i="57" s="1"/>
  <c r="U20" i="62"/>
  <c r="V8" i="57" s="1"/>
  <c r="V20" i="62"/>
  <c r="W8" i="57" s="1"/>
  <c r="W20" i="62"/>
  <c r="X8" i="57" s="1"/>
  <c r="X20" i="62"/>
  <c r="Y8" i="57" s="1"/>
  <c r="Y20" i="62"/>
  <c r="Z8" i="57" s="1"/>
  <c r="Z20" i="62"/>
  <c r="AA8" i="57" s="1"/>
  <c r="AA20" i="62"/>
  <c r="AB8" i="57" s="1"/>
  <c r="AB20" i="62"/>
  <c r="AC8" i="57" s="1"/>
  <c r="AC20" i="62"/>
  <c r="AD8" i="57" s="1"/>
  <c r="AD20" i="62"/>
  <c r="AE8" i="57" s="1"/>
  <c r="AF20" i="62"/>
  <c r="AG8" i="57" s="1"/>
  <c r="AE20" i="62"/>
  <c r="AF8" i="57" s="1"/>
  <c r="C44" i="64"/>
  <c r="D49" i="64"/>
  <c r="J43" i="64"/>
  <c r="H45" i="64"/>
  <c r="H47" i="64"/>
  <c r="J47" i="64" s="1"/>
  <c r="H48" i="64"/>
  <c r="J48" i="64" s="1"/>
  <c r="H46" i="64"/>
  <c r="J46" i="64" s="1"/>
  <c r="E47" i="59"/>
  <c r="D8" i="57"/>
  <c r="F16" i="62"/>
  <c r="G8" i="57" s="1"/>
  <c r="E16" i="62"/>
  <c r="F8" i="57" s="1"/>
  <c r="F5" i="59"/>
  <c r="D9" i="64" s="1"/>
  <c r="J8" i="64" l="1"/>
  <c r="J16" i="64" s="1"/>
  <c r="J20" i="64" s="1"/>
  <c r="H16" i="64"/>
  <c r="H20" i="64" s="1"/>
  <c r="S12" i="74"/>
  <c r="S16" i="74"/>
  <c r="S20" i="74"/>
  <c r="S25" i="74"/>
  <c r="S29" i="74"/>
  <c r="S33" i="74"/>
  <c r="S13" i="74"/>
  <c r="S17" i="74"/>
  <c r="S21" i="74"/>
  <c r="S24" i="74"/>
  <c r="S26" i="74"/>
  <c r="S30" i="74"/>
  <c r="S34" i="74"/>
  <c r="S28" i="74"/>
  <c r="S10" i="74"/>
  <c r="S14" i="74"/>
  <c r="S18" i="74"/>
  <c r="S22" i="74"/>
  <c r="S32" i="74"/>
  <c r="S23" i="74"/>
  <c r="S27" i="74"/>
  <c r="S31" i="74"/>
  <c r="S11" i="74"/>
  <c r="S15" i="74"/>
  <c r="S19" i="74"/>
  <c r="K8" i="74"/>
  <c r="K7" i="74"/>
  <c r="K6" i="74"/>
  <c r="K9" i="74"/>
  <c r="K5" i="74"/>
  <c r="K10" i="74"/>
  <c r="K12" i="74"/>
  <c r="K23" i="74"/>
  <c r="K16" i="74"/>
  <c r="K17" i="74"/>
  <c r="K18" i="74"/>
  <c r="K13" i="74"/>
  <c r="K33" i="74"/>
  <c r="K34" i="74"/>
  <c r="K11" i="74"/>
  <c r="K27" i="74"/>
  <c r="K21" i="74"/>
  <c r="K22" i="74"/>
  <c r="K24" i="74"/>
  <c r="K14" i="74"/>
  <c r="K15" i="74"/>
  <c r="K31" i="74"/>
  <c r="K28" i="74"/>
  <c r="K26" i="74"/>
  <c r="K30" i="74"/>
  <c r="K25" i="74"/>
  <c r="K29" i="74"/>
  <c r="K32" i="74"/>
  <c r="K20" i="74"/>
  <c r="K19" i="74"/>
  <c r="H30" i="73"/>
  <c r="H22" i="73"/>
  <c r="H17" i="73"/>
  <c r="H29" i="73"/>
  <c r="H18" i="73"/>
  <c r="H8" i="73"/>
  <c r="H20" i="73"/>
  <c r="H12" i="73"/>
  <c r="H19" i="73"/>
  <c r="H11" i="73"/>
  <c r="H33" i="73"/>
  <c r="H9" i="73"/>
  <c r="H34" i="73"/>
  <c r="H25" i="73"/>
  <c r="H15" i="73"/>
  <c r="H10" i="73"/>
  <c r="H7" i="73"/>
  <c r="H26" i="73"/>
  <c r="H32" i="73"/>
  <c r="H14" i="73"/>
  <c r="H6" i="73"/>
  <c r="H28" i="73"/>
  <c r="H16" i="73"/>
  <c r="H24" i="73"/>
  <c r="H31" i="73"/>
  <c r="H23" i="73"/>
  <c r="H13" i="73"/>
  <c r="R35" i="73"/>
  <c r="M10" i="66"/>
  <c r="AB10" i="66"/>
  <c r="AC10" i="66"/>
  <c r="G10" i="66"/>
  <c r="Q10" i="66"/>
  <c r="AA10" i="66"/>
  <c r="U10" i="66"/>
  <c r="H10" i="66"/>
  <c r="F10" i="66"/>
  <c r="L10" i="66"/>
  <c r="K10" i="66"/>
  <c r="Z10" i="66"/>
  <c r="T10" i="66"/>
  <c r="E10" i="66"/>
  <c r="Y10" i="66"/>
  <c r="AF10" i="66"/>
  <c r="R10" i="66"/>
  <c r="O10" i="66"/>
  <c r="D10" i="66"/>
  <c r="X10" i="66"/>
  <c r="P10" i="66"/>
  <c r="J10" i="66"/>
  <c r="S10" i="66"/>
  <c r="AG10" i="66"/>
  <c r="AE10" i="66"/>
  <c r="W10" i="66"/>
  <c r="I10" i="66"/>
  <c r="V10" i="66"/>
  <c r="N10" i="66"/>
  <c r="AD10" i="66"/>
  <c r="H27" i="73"/>
  <c r="H5" i="73"/>
  <c r="T8" i="57"/>
  <c r="E52" i="59"/>
  <c r="E44" i="64"/>
  <c r="E9" i="64"/>
  <c r="Z25" i="66"/>
  <c r="S25" i="66"/>
  <c r="J25" i="66"/>
  <c r="G25" i="66"/>
  <c r="V25" i="66"/>
  <c r="F25" i="66"/>
  <c r="AF25" i="66"/>
  <c r="H25" i="66"/>
  <c r="X25" i="66"/>
  <c r="J42" i="64"/>
  <c r="AG25" i="66"/>
  <c r="N25" i="66"/>
  <c r="E25" i="66"/>
  <c r="D25" i="66"/>
  <c r="K25" i="66"/>
  <c r="AE25" i="66"/>
  <c r="P25" i="66"/>
  <c r="AD25" i="66"/>
  <c r="I25" i="66"/>
  <c r="R25" i="66"/>
  <c r="L25" i="66"/>
  <c r="AB25" i="66"/>
  <c r="AA25" i="66"/>
  <c r="M25" i="66"/>
  <c r="T25" i="66"/>
  <c r="Q25" i="66"/>
  <c r="AC25" i="66"/>
  <c r="O25" i="66"/>
  <c r="C11" i="66"/>
  <c r="W25" i="66"/>
  <c r="U25" i="66"/>
  <c r="Y25" i="66"/>
  <c r="AH21" i="66"/>
  <c r="J45" i="64"/>
  <c r="J44" i="64" s="1"/>
  <c r="H44" i="64"/>
  <c r="H49" i="64" s="1"/>
  <c r="C7" i="66"/>
  <c r="G4" i="74" s="1"/>
  <c r="J49" i="64" l="1"/>
  <c r="U35" i="74"/>
  <c r="Y9" i="74"/>
  <c r="Y5" i="74"/>
  <c r="Y7" i="74"/>
  <c r="Y6" i="74"/>
  <c r="Y8" i="74"/>
  <c r="J9" i="74"/>
  <c r="Y10" i="74"/>
  <c r="Y19" i="74"/>
  <c r="Y15" i="74"/>
  <c r="Y13" i="74"/>
  <c r="Y34" i="74"/>
  <c r="Y23" i="74"/>
  <c r="Y31" i="74"/>
  <c r="J14" i="74"/>
  <c r="Y18" i="74"/>
  <c r="Y21" i="74"/>
  <c r="Y17" i="74"/>
  <c r="Y25" i="74"/>
  <c r="Y27" i="74"/>
  <c r="Y11" i="74"/>
  <c r="Y32" i="74"/>
  <c r="Y30" i="74"/>
  <c r="Y14" i="74"/>
  <c r="Y33" i="74"/>
  <c r="Y16" i="74"/>
  <c r="Y20" i="74"/>
  <c r="Y26" i="74"/>
  <c r="Y22" i="74"/>
  <c r="Y28" i="74"/>
  <c r="Y12" i="74"/>
  <c r="Y24" i="74"/>
  <c r="Y29" i="74"/>
  <c r="M24" i="66"/>
  <c r="H21" i="73"/>
  <c r="AG24" i="66"/>
  <c r="J34" i="74"/>
  <c r="AF24" i="66"/>
  <c r="J33" i="74"/>
  <c r="AE24" i="66"/>
  <c r="J32" i="74"/>
  <c r="AD24" i="66"/>
  <c r="J31" i="74"/>
  <c r="AC24" i="66"/>
  <c r="J30" i="74"/>
  <c r="AB24" i="66"/>
  <c r="J29" i="74"/>
  <c r="AA24" i="66"/>
  <c r="J28" i="74"/>
  <c r="Z24" i="66"/>
  <c r="J27" i="74"/>
  <c r="Y24" i="66"/>
  <c r="J26" i="74"/>
  <c r="X24" i="66"/>
  <c r="J25" i="74"/>
  <c r="W24" i="66"/>
  <c r="J24" i="74"/>
  <c r="V24" i="66"/>
  <c r="J23" i="74"/>
  <c r="U24" i="66"/>
  <c r="J22" i="74"/>
  <c r="T24" i="66"/>
  <c r="J21" i="74"/>
  <c r="S24" i="66"/>
  <c r="J20" i="74"/>
  <c r="R24" i="66"/>
  <c r="J19" i="74"/>
  <c r="Q24" i="66"/>
  <c r="J18" i="74"/>
  <c r="P24" i="66"/>
  <c r="J17" i="74"/>
  <c r="O24" i="66"/>
  <c r="J16" i="74"/>
  <c r="N24" i="66"/>
  <c r="J15" i="74"/>
  <c r="L24" i="66"/>
  <c r="J13" i="74"/>
  <c r="K24" i="66"/>
  <c r="J12" i="74"/>
  <c r="J24" i="66"/>
  <c r="J11" i="74"/>
  <c r="I8" i="66"/>
  <c r="J10" i="74"/>
  <c r="H24" i="66"/>
  <c r="G24" i="66"/>
  <c r="J8" i="74"/>
  <c r="F24" i="66"/>
  <c r="J7" i="74"/>
  <c r="E24" i="66"/>
  <c r="J6" i="74"/>
  <c r="D24" i="66"/>
  <c r="J5" i="74"/>
  <c r="K4" i="74"/>
  <c r="C10" i="66"/>
  <c r="D8" i="66"/>
  <c r="I24" i="66"/>
  <c r="E49" i="64"/>
  <c r="C57" i="59"/>
  <c r="D6" i="57" s="1"/>
  <c r="E57" i="59"/>
  <c r="F6" i="57" s="1"/>
  <c r="G57" i="59"/>
  <c r="H6" i="57" s="1"/>
  <c r="D57" i="59"/>
  <c r="E6" i="57" s="1"/>
  <c r="F57" i="59"/>
  <c r="G6" i="57" s="1"/>
  <c r="X57" i="59"/>
  <c r="AF57" i="59"/>
  <c r="AG6" i="57" s="1"/>
  <c r="AG19" i="57"/>
  <c r="AG8" i="66"/>
  <c r="V57" i="59"/>
  <c r="AC57" i="59"/>
  <c r="M57" i="59"/>
  <c r="N57" i="59"/>
  <c r="AB57" i="59"/>
  <c r="T57" i="59"/>
  <c r="L57" i="59"/>
  <c r="AD57" i="59"/>
  <c r="K57" i="59"/>
  <c r="AE57" i="59"/>
  <c r="Z57" i="59"/>
  <c r="R57" i="59"/>
  <c r="J57" i="59"/>
  <c r="H57" i="59"/>
  <c r="AA57" i="59"/>
  <c r="Y57" i="59"/>
  <c r="U57" i="59"/>
  <c r="S57" i="59"/>
  <c r="Q57" i="59"/>
  <c r="I57" i="59"/>
  <c r="W57" i="59"/>
  <c r="O57" i="59"/>
  <c r="P57" i="59"/>
  <c r="F8" i="66"/>
  <c r="M8" i="66"/>
  <c r="AF8" i="66"/>
  <c r="T8" i="66"/>
  <c r="E8" i="66"/>
  <c r="J8" i="66"/>
  <c r="U8" i="66"/>
  <c r="AE8" i="66"/>
  <c r="R8" i="66"/>
  <c r="Y8" i="66"/>
  <c r="W8" i="66"/>
  <c r="AC8" i="66"/>
  <c r="I23" i="66"/>
  <c r="Z8" i="66"/>
  <c r="Q8" i="66"/>
  <c r="G8" i="66"/>
  <c r="L8" i="66"/>
  <c r="N8" i="66"/>
  <c r="K8" i="66"/>
  <c r="H8" i="66"/>
  <c r="AB8" i="66"/>
  <c r="V8" i="66"/>
  <c r="X8" i="66"/>
  <c r="S8" i="66"/>
  <c r="P8" i="66"/>
  <c r="D23" i="66"/>
  <c r="AD8" i="66"/>
  <c r="O8" i="66"/>
  <c r="AA8" i="66"/>
  <c r="C21" i="66"/>
  <c r="C25" i="66"/>
  <c r="C18" i="57"/>
  <c r="C8" i="57"/>
  <c r="M53" i="64" l="1"/>
  <c r="H53" i="64"/>
  <c r="D6" i="66" s="1"/>
  <c r="F5" i="74" s="1"/>
  <c r="I53" i="64"/>
  <c r="E6" i="66" s="1"/>
  <c r="J53" i="64"/>
  <c r="F6" i="66" s="1"/>
  <c r="K53" i="64"/>
  <c r="G6" i="66" s="1"/>
  <c r="L53" i="64"/>
  <c r="H6" i="66" s="1"/>
  <c r="W10" i="74"/>
  <c r="W5" i="74"/>
  <c r="X6" i="74"/>
  <c r="X10" i="74"/>
  <c r="H5" i="74"/>
  <c r="X7" i="74"/>
  <c r="H6" i="74"/>
  <c r="H9" i="74"/>
  <c r="X8" i="74"/>
  <c r="X9" i="74"/>
  <c r="H8" i="74"/>
  <c r="X5" i="74"/>
  <c r="H7" i="74"/>
  <c r="H10" i="74"/>
  <c r="H29" i="74"/>
  <c r="X12" i="74"/>
  <c r="X17" i="74"/>
  <c r="X21" i="74"/>
  <c r="X25" i="74"/>
  <c r="X29" i="74"/>
  <c r="X33" i="74"/>
  <c r="H30" i="74"/>
  <c r="H16" i="74"/>
  <c r="H31" i="74"/>
  <c r="H12" i="74"/>
  <c r="H24" i="74"/>
  <c r="H33" i="74"/>
  <c r="X13" i="74"/>
  <c r="X18" i="74"/>
  <c r="X22" i="74"/>
  <c r="X26" i="74"/>
  <c r="X30" i="74"/>
  <c r="X34" i="74"/>
  <c r="H27" i="74"/>
  <c r="H15" i="74"/>
  <c r="H26" i="74"/>
  <c r="H14" i="74"/>
  <c r="H11" i="74"/>
  <c r="H17" i="74"/>
  <c r="H13" i="74"/>
  <c r="H19" i="74"/>
  <c r="H34" i="74"/>
  <c r="X15" i="74"/>
  <c r="X19" i="74"/>
  <c r="X23" i="74"/>
  <c r="X27" i="74"/>
  <c r="X31" i="74"/>
  <c r="X14" i="74"/>
  <c r="H21" i="74"/>
  <c r="H20" i="74"/>
  <c r="H32" i="74"/>
  <c r="H23" i="74"/>
  <c r="H28" i="74"/>
  <c r="H25" i="74"/>
  <c r="H18" i="74"/>
  <c r="H22" i="74"/>
  <c r="X11" i="74"/>
  <c r="X16" i="74"/>
  <c r="X20" i="74"/>
  <c r="X24" i="74"/>
  <c r="X28" i="74"/>
  <c r="X32" i="74"/>
  <c r="F8" i="73"/>
  <c r="F6" i="73"/>
  <c r="F9" i="73"/>
  <c r="F7" i="73"/>
  <c r="F5" i="73"/>
  <c r="R4" i="73"/>
  <c r="S34" i="73"/>
  <c r="Y4" i="74"/>
  <c r="U4" i="74"/>
  <c r="C24" i="66"/>
  <c r="J4" i="74"/>
  <c r="H4" i="73"/>
  <c r="AG4" i="57"/>
  <c r="F34" i="73"/>
  <c r="AG23" i="66"/>
  <c r="AG22" i="66"/>
  <c r="C9" i="66"/>
  <c r="AD23" i="66"/>
  <c r="T23" i="66"/>
  <c r="X23" i="66"/>
  <c r="K23" i="66"/>
  <c r="Q23" i="66"/>
  <c r="W23" i="66"/>
  <c r="U23" i="66"/>
  <c r="AF23" i="66"/>
  <c r="H23" i="66"/>
  <c r="D22" i="66"/>
  <c r="V23" i="66"/>
  <c r="N23" i="66"/>
  <c r="Z23" i="66"/>
  <c r="Y23" i="66"/>
  <c r="J23" i="66"/>
  <c r="M23" i="66"/>
  <c r="AC23" i="66"/>
  <c r="S23" i="66"/>
  <c r="G23" i="66"/>
  <c r="P23" i="66"/>
  <c r="AB23" i="66"/>
  <c r="L23" i="66"/>
  <c r="R23" i="66"/>
  <c r="E23" i="66"/>
  <c r="F23" i="66"/>
  <c r="AE23" i="66"/>
  <c r="AA23" i="66"/>
  <c r="O23" i="66"/>
  <c r="I22" i="66"/>
  <c r="AF6" i="57"/>
  <c r="N6" i="57"/>
  <c r="T6" i="57"/>
  <c r="X6" i="57"/>
  <c r="I6" i="57"/>
  <c r="L6" i="57"/>
  <c r="P6" i="57"/>
  <c r="J6" i="57"/>
  <c r="Z6" i="57"/>
  <c r="AE6" i="57"/>
  <c r="AC6" i="57"/>
  <c r="AA6" i="57"/>
  <c r="W6" i="57"/>
  <c r="U6" i="57"/>
  <c r="S6" i="57"/>
  <c r="O6" i="57"/>
  <c r="M6" i="57"/>
  <c r="K6" i="57"/>
  <c r="Y6" i="57"/>
  <c r="AD6" i="57"/>
  <c r="R6" i="57"/>
  <c r="Q6" i="57"/>
  <c r="V6" i="57"/>
  <c r="AB6" i="57"/>
  <c r="O53" i="64"/>
  <c r="W53" i="64"/>
  <c r="AE53" i="64"/>
  <c r="V53" i="64"/>
  <c r="P53" i="64"/>
  <c r="X53" i="64"/>
  <c r="AF53" i="64"/>
  <c r="AK53" i="64"/>
  <c r="N53" i="64"/>
  <c r="Q53" i="64"/>
  <c r="Y53" i="64"/>
  <c r="AG53" i="64"/>
  <c r="R53" i="64"/>
  <c r="Z53" i="64"/>
  <c r="AH53" i="64"/>
  <c r="AC53" i="64"/>
  <c r="S53" i="64"/>
  <c r="AA53" i="64"/>
  <c r="AI53" i="64"/>
  <c r="U53" i="64"/>
  <c r="AD53" i="64"/>
  <c r="T53" i="64"/>
  <c r="AB53" i="64"/>
  <c r="AJ53" i="64"/>
  <c r="H20" i="66" l="1"/>
  <c r="T9" i="74" s="1"/>
  <c r="F9" i="74"/>
  <c r="G20" i="66"/>
  <c r="T8" i="74" s="1"/>
  <c r="F8" i="74"/>
  <c r="F20" i="66"/>
  <c r="T7" i="74" s="1"/>
  <c r="F7" i="74"/>
  <c r="E20" i="66"/>
  <c r="T6" i="74" s="1"/>
  <c r="F6" i="74"/>
  <c r="D20" i="66"/>
  <c r="T5" i="74" s="1"/>
  <c r="W9" i="74"/>
  <c r="W8" i="74"/>
  <c r="W6" i="74"/>
  <c r="W7" i="74"/>
  <c r="V10" i="74"/>
  <c r="V5" i="74"/>
  <c r="V34" i="74"/>
  <c r="W13" i="74"/>
  <c r="W26" i="74"/>
  <c r="W24" i="74"/>
  <c r="W34" i="74"/>
  <c r="W19" i="74"/>
  <c r="W29" i="74"/>
  <c r="W27" i="74"/>
  <c r="W18" i="74"/>
  <c r="W22" i="74"/>
  <c r="W15" i="74"/>
  <c r="W12" i="74"/>
  <c r="W28" i="74"/>
  <c r="W23" i="74"/>
  <c r="W25" i="74"/>
  <c r="W32" i="74"/>
  <c r="W20" i="74"/>
  <c r="W21" i="74"/>
  <c r="W11" i="74"/>
  <c r="W16" i="74"/>
  <c r="W30" i="74"/>
  <c r="W31" i="74"/>
  <c r="W17" i="74"/>
  <c r="W14" i="74"/>
  <c r="W33" i="74"/>
  <c r="F11" i="73"/>
  <c r="D34" i="73"/>
  <c r="F10" i="73"/>
  <c r="X4" i="74"/>
  <c r="I4" i="74"/>
  <c r="AG9" i="57"/>
  <c r="AF4" i="57"/>
  <c r="F33" i="73"/>
  <c r="AE4" i="57"/>
  <c r="F32" i="73"/>
  <c r="AD4" i="57"/>
  <c r="F31" i="73"/>
  <c r="AC4" i="57"/>
  <c r="F30" i="73"/>
  <c r="AB4" i="57"/>
  <c r="F29" i="73"/>
  <c r="AA4" i="57"/>
  <c r="F28" i="73"/>
  <c r="Z4" i="57"/>
  <c r="F27" i="73"/>
  <c r="Y4" i="57"/>
  <c r="F26" i="73"/>
  <c r="X4" i="57"/>
  <c r="F25" i="73"/>
  <c r="W4" i="57"/>
  <c r="F24" i="73"/>
  <c r="V4" i="57"/>
  <c r="F23" i="73"/>
  <c r="U4" i="57"/>
  <c r="F22" i="73"/>
  <c r="T4" i="57"/>
  <c r="F21" i="73"/>
  <c r="S4" i="57"/>
  <c r="F20" i="73"/>
  <c r="R4" i="57"/>
  <c r="F19" i="73"/>
  <c r="Q4" i="57"/>
  <c r="F18" i="73"/>
  <c r="P4" i="57"/>
  <c r="F17" i="73"/>
  <c r="O4" i="57"/>
  <c r="F16" i="73"/>
  <c r="N4" i="57"/>
  <c r="F15" i="73"/>
  <c r="M4" i="57"/>
  <c r="F14" i="73"/>
  <c r="L4" i="57"/>
  <c r="F13" i="73"/>
  <c r="K4" i="57"/>
  <c r="F12" i="73"/>
  <c r="J4" i="57"/>
  <c r="I4" i="57"/>
  <c r="C23" i="66"/>
  <c r="C8" i="66"/>
  <c r="AA22" i="66"/>
  <c r="V22" i="66"/>
  <c r="K22" i="66"/>
  <c r="G22" i="66"/>
  <c r="Y22" i="66"/>
  <c r="U22" i="66"/>
  <c r="X22" i="66"/>
  <c r="R22" i="66"/>
  <c r="S22" i="66"/>
  <c r="AE22" i="66"/>
  <c r="AB22" i="66"/>
  <c r="Z22" i="66"/>
  <c r="W22" i="66"/>
  <c r="T22" i="66"/>
  <c r="AF22" i="66"/>
  <c r="AC22" i="66"/>
  <c r="O22" i="66"/>
  <c r="P22" i="66"/>
  <c r="M22" i="66"/>
  <c r="N22" i="66"/>
  <c r="H22" i="66"/>
  <c r="J22" i="66"/>
  <c r="L22" i="66"/>
  <c r="F22" i="66"/>
  <c r="E22" i="66"/>
  <c r="Q22" i="66"/>
  <c r="AD22" i="66"/>
  <c r="W6" i="66"/>
  <c r="M6" i="66"/>
  <c r="S6" i="66"/>
  <c r="AF6" i="66"/>
  <c r="Y6" i="66"/>
  <c r="AG6" i="66"/>
  <c r="C6" i="57"/>
  <c r="J6" i="66"/>
  <c r="AB6" i="66"/>
  <c r="K6" i="66"/>
  <c r="P6" i="66"/>
  <c r="V6" i="66"/>
  <c r="T6" i="66"/>
  <c r="X6" i="66"/>
  <c r="N6" i="66"/>
  <c r="O6" i="66"/>
  <c r="AD6" i="66"/>
  <c r="Q6" i="66"/>
  <c r="AC6" i="66"/>
  <c r="R6" i="66"/>
  <c r="I6" i="66"/>
  <c r="Z6" i="66"/>
  <c r="L6" i="66"/>
  <c r="AE6" i="66"/>
  <c r="U6" i="66"/>
  <c r="AA6" i="66"/>
  <c r="F11" i="57"/>
  <c r="G11" i="57"/>
  <c r="H11" i="57"/>
  <c r="I11" i="57"/>
  <c r="J11" i="57"/>
  <c r="K11" i="57"/>
  <c r="L11" i="57"/>
  <c r="M11" i="57"/>
  <c r="N11" i="57"/>
  <c r="O11" i="57"/>
  <c r="P11" i="57"/>
  <c r="Q11" i="57"/>
  <c r="R11" i="57"/>
  <c r="S11" i="57"/>
  <c r="T11" i="57"/>
  <c r="U11" i="57"/>
  <c r="V11" i="57"/>
  <c r="W11" i="57"/>
  <c r="X11" i="57"/>
  <c r="Y11" i="57"/>
  <c r="Z11" i="57"/>
  <c r="AA11" i="57"/>
  <c r="AB11" i="57"/>
  <c r="AC11" i="57"/>
  <c r="AD11" i="57"/>
  <c r="AE11" i="57"/>
  <c r="AF11" i="57"/>
  <c r="E11" i="57"/>
  <c r="D11" i="57"/>
  <c r="V8" i="74" l="1"/>
  <c r="V7" i="74"/>
  <c r="V9" i="74"/>
  <c r="V6" i="74"/>
  <c r="V30" i="74"/>
  <c r="F23" i="74"/>
  <c r="F33" i="74"/>
  <c r="V13" i="74"/>
  <c r="V33" i="74"/>
  <c r="V25" i="74"/>
  <c r="F26" i="74"/>
  <c r="F30" i="74"/>
  <c r="F17" i="74"/>
  <c r="F20" i="74"/>
  <c r="V11" i="74"/>
  <c r="V21" i="74"/>
  <c r="V22" i="74"/>
  <c r="F18" i="74"/>
  <c r="V26" i="74"/>
  <c r="V24" i="74"/>
  <c r="F22" i="74"/>
  <c r="F31" i="74"/>
  <c r="F29" i="74"/>
  <c r="F24" i="74"/>
  <c r="V15" i="74"/>
  <c r="V27" i="74"/>
  <c r="F21" i="74"/>
  <c r="F12" i="74"/>
  <c r="F16" i="74"/>
  <c r="V31" i="74"/>
  <c r="V14" i="74"/>
  <c r="V29" i="74"/>
  <c r="V12" i="74"/>
  <c r="F28" i="74"/>
  <c r="F32" i="74"/>
  <c r="F11" i="74"/>
  <c r="F13" i="74"/>
  <c r="F15" i="74"/>
  <c r="V18" i="74"/>
  <c r="V17" i="74"/>
  <c r="V32" i="74"/>
  <c r="V23" i="74"/>
  <c r="V19" i="74"/>
  <c r="F19" i="74"/>
  <c r="F14" i="74"/>
  <c r="F27" i="74"/>
  <c r="F34" i="74"/>
  <c r="V16" i="74"/>
  <c r="V20" i="74"/>
  <c r="V28" i="74"/>
  <c r="D14" i="73"/>
  <c r="D22" i="73"/>
  <c r="D16" i="73"/>
  <c r="D20" i="73"/>
  <c r="D24" i="73"/>
  <c r="D32" i="73"/>
  <c r="F4" i="73"/>
  <c r="D21" i="73"/>
  <c r="D25" i="73"/>
  <c r="D33" i="73"/>
  <c r="K30" i="73"/>
  <c r="K22" i="73"/>
  <c r="K14" i="73"/>
  <c r="K5" i="73"/>
  <c r="K21" i="73"/>
  <c r="K13" i="73"/>
  <c r="K29" i="73"/>
  <c r="K28" i="73"/>
  <c r="K20" i="73"/>
  <c r="K12" i="73"/>
  <c r="K27" i="73"/>
  <c r="K10" i="73"/>
  <c r="K11" i="73"/>
  <c r="K18" i="73"/>
  <c r="K25" i="73"/>
  <c r="K17" i="73"/>
  <c r="K9" i="73"/>
  <c r="K19" i="73"/>
  <c r="K6" i="73"/>
  <c r="K33" i="73"/>
  <c r="K24" i="73"/>
  <c r="K8" i="73"/>
  <c r="K26" i="73"/>
  <c r="K32" i="73"/>
  <c r="K16" i="73"/>
  <c r="K31" i="73"/>
  <c r="K23" i="73"/>
  <c r="K15" i="73"/>
  <c r="K7" i="73"/>
  <c r="W4" i="74"/>
  <c r="X4" i="66"/>
  <c r="F25" i="74"/>
  <c r="I4" i="66"/>
  <c r="F10" i="74"/>
  <c r="H4" i="74"/>
  <c r="AG20" i="57"/>
  <c r="I34" i="73"/>
  <c r="D31" i="73"/>
  <c r="D30" i="73"/>
  <c r="D29" i="73"/>
  <c r="D28" i="73"/>
  <c r="D27" i="73"/>
  <c r="D26" i="73"/>
  <c r="D23" i="73"/>
  <c r="D19" i="73"/>
  <c r="D18" i="73"/>
  <c r="D17" i="73"/>
  <c r="D15" i="73"/>
  <c r="D13" i="73"/>
  <c r="D12" i="73"/>
  <c r="D11" i="73"/>
  <c r="D10" i="73"/>
  <c r="I19" i="57"/>
  <c r="I15" i="57"/>
  <c r="AG4" i="66"/>
  <c r="AF4" i="66"/>
  <c r="AE20" i="66"/>
  <c r="AE4" i="66"/>
  <c r="AD4" i="66"/>
  <c r="AC20" i="66"/>
  <c r="AC4" i="66"/>
  <c r="AB4" i="66"/>
  <c r="AA4" i="66"/>
  <c r="Z4" i="66"/>
  <c r="Y4" i="66"/>
  <c r="W4" i="66"/>
  <c r="V4" i="66"/>
  <c r="U4" i="66"/>
  <c r="T4" i="66"/>
  <c r="S4" i="66"/>
  <c r="R4" i="66"/>
  <c r="Q4" i="66"/>
  <c r="P4" i="66"/>
  <c r="O4" i="66"/>
  <c r="N4" i="66"/>
  <c r="M4" i="66"/>
  <c r="L20" i="66"/>
  <c r="L4" i="66"/>
  <c r="K4" i="66"/>
  <c r="J4" i="66"/>
  <c r="AF20" i="66"/>
  <c r="O20" i="66"/>
  <c r="J20" i="66"/>
  <c r="W20" i="66"/>
  <c r="Y20" i="66"/>
  <c r="C22" i="66"/>
  <c r="S20" i="66"/>
  <c r="K20" i="66"/>
  <c r="M20" i="66"/>
  <c r="Z20" i="66"/>
  <c r="U20" i="66"/>
  <c r="V20" i="66"/>
  <c r="P20" i="66"/>
  <c r="AD20" i="66"/>
  <c r="I20" i="66"/>
  <c r="AA20" i="66"/>
  <c r="N20" i="66"/>
  <c r="T20" i="66"/>
  <c r="X20" i="66"/>
  <c r="Q20" i="66"/>
  <c r="AG20" i="66"/>
  <c r="V9" i="57"/>
  <c r="AB9" i="57"/>
  <c r="AD9" i="57"/>
  <c r="W9" i="57"/>
  <c r="R9" i="57"/>
  <c r="T9" i="57"/>
  <c r="X9" i="57"/>
  <c r="I9" i="57"/>
  <c r="L9" i="57"/>
  <c r="AF9" i="57"/>
  <c r="N9" i="57"/>
  <c r="Z9" i="57"/>
  <c r="AE9" i="57"/>
  <c r="AC9" i="57"/>
  <c r="AA9" i="57"/>
  <c r="P9" i="57"/>
  <c r="J9" i="57"/>
  <c r="AB20" i="66"/>
  <c r="R20" i="66"/>
  <c r="C6" i="66"/>
  <c r="O9" i="57"/>
  <c r="M9" i="57"/>
  <c r="K9" i="57"/>
  <c r="Y9" i="57"/>
  <c r="U9" i="57"/>
  <c r="S9" i="57"/>
  <c r="Q9" i="57"/>
  <c r="Y19" i="57"/>
  <c r="Y17" i="57"/>
  <c r="Y15" i="57"/>
  <c r="Q19" i="57"/>
  <c r="Q17" i="57"/>
  <c r="Q15" i="57"/>
  <c r="AF19" i="57"/>
  <c r="AF17" i="57"/>
  <c r="AF15" i="57"/>
  <c r="X19" i="57"/>
  <c r="X17" i="57"/>
  <c r="X15" i="57"/>
  <c r="P19" i="57"/>
  <c r="P17" i="57"/>
  <c r="P15" i="57"/>
  <c r="H17" i="57"/>
  <c r="H19" i="57"/>
  <c r="AG17" i="57"/>
  <c r="AG15" i="57"/>
  <c r="AE17" i="57"/>
  <c r="AE19" i="57"/>
  <c r="AE15" i="57"/>
  <c r="W19" i="57"/>
  <c r="W15" i="57"/>
  <c r="W17" i="57"/>
  <c r="O19" i="57"/>
  <c r="O15" i="57"/>
  <c r="O17" i="57"/>
  <c r="G17" i="57"/>
  <c r="G19" i="57"/>
  <c r="N19" i="57"/>
  <c r="N15" i="57"/>
  <c r="N17" i="57"/>
  <c r="F17" i="57"/>
  <c r="F19" i="57"/>
  <c r="U17" i="57"/>
  <c r="U19" i="57"/>
  <c r="U15" i="57"/>
  <c r="M17" i="57"/>
  <c r="M19" i="57"/>
  <c r="M15" i="57"/>
  <c r="V19" i="57"/>
  <c r="V17" i="57"/>
  <c r="V15" i="57"/>
  <c r="AB19" i="57"/>
  <c r="AB17" i="57"/>
  <c r="AB15" i="57"/>
  <c r="T19" i="57"/>
  <c r="T17" i="57"/>
  <c r="T15" i="57"/>
  <c r="L19" i="57"/>
  <c r="L17" i="57"/>
  <c r="L15" i="57"/>
  <c r="AC17" i="57"/>
  <c r="AC19" i="57"/>
  <c r="AC15" i="57"/>
  <c r="D17" i="57"/>
  <c r="D19" i="57"/>
  <c r="AA19" i="57"/>
  <c r="AA15" i="57"/>
  <c r="AA17" i="57"/>
  <c r="S17" i="57"/>
  <c r="S19" i="57"/>
  <c r="S15" i="57"/>
  <c r="K15" i="57"/>
  <c r="K17" i="57"/>
  <c r="K19" i="57"/>
  <c r="AD19" i="57"/>
  <c r="AD17" i="57"/>
  <c r="AD15" i="57"/>
  <c r="E17" i="57"/>
  <c r="E19" i="57"/>
  <c r="Z19" i="57"/>
  <c r="Z15" i="57"/>
  <c r="Z17" i="57"/>
  <c r="R19" i="57"/>
  <c r="R15" i="57"/>
  <c r="R17" i="57"/>
  <c r="J19" i="57"/>
  <c r="J17" i="57"/>
  <c r="J15" i="57"/>
  <c r="I17" i="57"/>
  <c r="I12" i="66" l="1"/>
  <c r="I26" i="66" s="1"/>
  <c r="T10" i="74"/>
  <c r="D32" i="74"/>
  <c r="T15" i="74"/>
  <c r="T14" i="74"/>
  <c r="T33" i="74"/>
  <c r="D17" i="74"/>
  <c r="D26" i="74"/>
  <c r="T32" i="74"/>
  <c r="D24" i="74"/>
  <c r="T19" i="74"/>
  <c r="T28" i="74"/>
  <c r="T12" i="74"/>
  <c r="D11" i="74"/>
  <c r="D18" i="74"/>
  <c r="D27" i="74"/>
  <c r="D33" i="74"/>
  <c r="T27" i="74"/>
  <c r="T29" i="74"/>
  <c r="T20" i="74"/>
  <c r="D12" i="74"/>
  <c r="D19" i="74"/>
  <c r="D28" i="74"/>
  <c r="D34" i="74"/>
  <c r="D25" i="74"/>
  <c r="T31" i="74"/>
  <c r="D13" i="74"/>
  <c r="D20" i="74"/>
  <c r="D29" i="74"/>
  <c r="T16" i="74"/>
  <c r="T34" i="74"/>
  <c r="T17" i="74"/>
  <c r="T26" i="74"/>
  <c r="T13" i="74"/>
  <c r="D21" i="74"/>
  <c r="D30" i="74"/>
  <c r="T21" i="74"/>
  <c r="T18" i="74"/>
  <c r="T23" i="74"/>
  <c r="T24" i="74"/>
  <c r="D14" i="74"/>
  <c r="D22" i="74"/>
  <c r="T30" i="74"/>
  <c r="D16" i="74"/>
  <c r="T25" i="74"/>
  <c r="T22" i="74"/>
  <c r="T11" i="74"/>
  <c r="D15" i="74"/>
  <c r="D23" i="74"/>
  <c r="D31" i="74"/>
  <c r="I11" i="73"/>
  <c r="Q10" i="73"/>
  <c r="S19" i="73"/>
  <c r="O31" i="73"/>
  <c r="O20" i="73"/>
  <c r="S5" i="73"/>
  <c r="P13" i="73"/>
  <c r="P29" i="73"/>
  <c r="Q14" i="73"/>
  <c r="Q15" i="73"/>
  <c r="S16" i="73"/>
  <c r="Q32" i="73"/>
  <c r="Q17" i="73"/>
  <c r="Q33" i="73"/>
  <c r="Q26" i="73"/>
  <c r="Q31" i="73"/>
  <c r="S20" i="73"/>
  <c r="Q5" i="73"/>
  <c r="S13" i="73"/>
  <c r="S29" i="73"/>
  <c r="P14" i="73"/>
  <c r="O15" i="73"/>
  <c r="P16" i="73"/>
  <c r="P32" i="73"/>
  <c r="S17" i="73"/>
  <c r="S33" i="73"/>
  <c r="S26" i="73"/>
  <c r="O11" i="73"/>
  <c r="S31" i="73"/>
  <c r="O30" i="73"/>
  <c r="O21" i="73"/>
  <c r="O23" i="73"/>
  <c r="O22" i="73"/>
  <c r="S15" i="73"/>
  <c r="Q24" i="73"/>
  <c r="O34" i="73"/>
  <c r="P17" i="73"/>
  <c r="P33" i="73"/>
  <c r="P26" i="73"/>
  <c r="Q27" i="73"/>
  <c r="Q20" i="73"/>
  <c r="Q11" i="73"/>
  <c r="O27" i="73"/>
  <c r="P31" i="73"/>
  <c r="P20" i="73"/>
  <c r="S30" i="73"/>
  <c r="Q21" i="73"/>
  <c r="Q23" i="73"/>
  <c r="S22" i="73"/>
  <c r="P15" i="73"/>
  <c r="O24" i="73"/>
  <c r="Q34" i="73"/>
  <c r="O25" i="73"/>
  <c r="O18" i="73"/>
  <c r="S11" i="73"/>
  <c r="S12" i="73"/>
  <c r="Q28" i="73"/>
  <c r="Q30" i="73"/>
  <c r="S21" i="73"/>
  <c r="S23" i="73"/>
  <c r="Q22" i="73"/>
  <c r="S8" i="73"/>
  <c r="S24" i="73"/>
  <c r="P34" i="73"/>
  <c r="Q25" i="73"/>
  <c r="Q18" i="73"/>
  <c r="P10" i="73"/>
  <c r="P27" i="73"/>
  <c r="Q12" i="73"/>
  <c r="O28" i="73"/>
  <c r="P30" i="73"/>
  <c r="P21" i="73"/>
  <c r="P23" i="73"/>
  <c r="P22" i="73"/>
  <c r="Q8" i="73"/>
  <c r="P24" i="73"/>
  <c r="S9" i="73"/>
  <c r="S25" i="73"/>
  <c r="S18" i="73"/>
  <c r="O10" i="73"/>
  <c r="S27" i="73"/>
  <c r="S6" i="73"/>
  <c r="O12" i="73"/>
  <c r="S28" i="73"/>
  <c r="O13" i="73"/>
  <c r="O29" i="73"/>
  <c r="O14" i="73"/>
  <c r="S7" i="73"/>
  <c r="Q16" i="73"/>
  <c r="O32" i="73"/>
  <c r="Q9" i="73"/>
  <c r="P25" i="73"/>
  <c r="P18" i="73"/>
  <c r="S10" i="73"/>
  <c r="P19" i="73"/>
  <c r="P11" i="73"/>
  <c r="Q19" i="73"/>
  <c r="O19" i="73"/>
  <c r="Q6" i="73"/>
  <c r="P12" i="73"/>
  <c r="P28" i="73"/>
  <c r="Q13" i="73"/>
  <c r="Q29" i="73"/>
  <c r="S14" i="73"/>
  <c r="Q7" i="73"/>
  <c r="O16" i="73"/>
  <c r="S32" i="73"/>
  <c r="O17" i="73"/>
  <c r="O33" i="73"/>
  <c r="O26" i="73"/>
  <c r="T34" i="73"/>
  <c r="V4" i="74"/>
  <c r="D10" i="74"/>
  <c r="I18" i="66"/>
  <c r="F4" i="74"/>
  <c r="AF20" i="57"/>
  <c r="I33" i="73"/>
  <c r="AE20" i="57"/>
  <c r="I32" i="73"/>
  <c r="AD20" i="57"/>
  <c r="I31" i="73"/>
  <c r="AC20" i="57"/>
  <c r="I30" i="73"/>
  <c r="AB20" i="57"/>
  <c r="I29" i="73"/>
  <c r="AA20" i="57"/>
  <c r="I28" i="73"/>
  <c r="Z20" i="57"/>
  <c r="I27" i="73"/>
  <c r="Y20" i="57"/>
  <c r="I26" i="73"/>
  <c r="X20" i="57"/>
  <c r="I25" i="73"/>
  <c r="W20" i="57"/>
  <c r="I24" i="73"/>
  <c r="V20" i="57"/>
  <c r="I23" i="73"/>
  <c r="U20" i="57"/>
  <c r="I22" i="73"/>
  <c r="T20" i="57"/>
  <c r="I21" i="73"/>
  <c r="S20" i="57"/>
  <c r="I20" i="73"/>
  <c r="R20" i="57"/>
  <c r="I19" i="73"/>
  <c r="Q20" i="57"/>
  <c r="I18" i="73"/>
  <c r="P20" i="57"/>
  <c r="I17" i="73"/>
  <c r="O20" i="57"/>
  <c r="I16" i="73"/>
  <c r="N20" i="57"/>
  <c r="I15" i="73"/>
  <c r="M20" i="57"/>
  <c r="I14" i="73"/>
  <c r="L20" i="57"/>
  <c r="I13" i="73"/>
  <c r="K20" i="57"/>
  <c r="I12" i="73"/>
  <c r="I20" i="57"/>
  <c r="I10" i="73"/>
  <c r="AG12" i="66"/>
  <c r="C17" i="57"/>
  <c r="C19" i="57"/>
  <c r="AF18" i="66"/>
  <c r="AF12" i="66"/>
  <c r="U12" i="66"/>
  <c r="J20" i="57"/>
  <c r="J12" i="66"/>
  <c r="J18" i="66"/>
  <c r="Z18" i="66"/>
  <c r="K18" i="66"/>
  <c r="K12" i="66"/>
  <c r="N18" i="66"/>
  <c r="Z12" i="66"/>
  <c r="N12" i="66"/>
  <c r="O18" i="66"/>
  <c r="X12" i="66"/>
  <c r="S12" i="66"/>
  <c r="W12" i="66"/>
  <c r="S18" i="66"/>
  <c r="W18" i="66"/>
  <c r="O12" i="66"/>
  <c r="X18" i="66"/>
  <c r="U18" i="66"/>
  <c r="L18" i="66"/>
  <c r="Q12" i="66"/>
  <c r="Y12" i="66"/>
  <c r="Y18" i="66"/>
  <c r="Q18" i="66"/>
  <c r="AC12" i="66"/>
  <c r="AD12" i="66"/>
  <c r="AD18" i="66"/>
  <c r="AE12" i="66"/>
  <c r="M12" i="66"/>
  <c r="M18" i="66"/>
  <c r="V12" i="66"/>
  <c r="V18" i="66"/>
  <c r="AC18" i="66"/>
  <c r="AB12" i="66"/>
  <c r="AB18" i="66"/>
  <c r="AA12" i="66"/>
  <c r="AA18" i="66"/>
  <c r="R18" i="66"/>
  <c r="AE18" i="66"/>
  <c r="L12" i="66"/>
  <c r="P12" i="66"/>
  <c r="P18" i="66"/>
  <c r="C20" i="66"/>
  <c r="AG18" i="66"/>
  <c r="T12" i="66"/>
  <c r="T18" i="66"/>
  <c r="R12" i="66"/>
  <c r="F5" i="57"/>
  <c r="H5" i="57"/>
  <c r="G5" i="57"/>
  <c r="E5" i="57"/>
  <c r="D5" i="57"/>
  <c r="D4" i="57" l="1"/>
  <c r="D15" i="57" s="1"/>
  <c r="E5" i="73"/>
  <c r="F4" i="57"/>
  <c r="D7" i="73" s="1"/>
  <c r="E7" i="73"/>
  <c r="G4" i="57"/>
  <c r="D8" i="73" s="1"/>
  <c r="E8" i="73"/>
  <c r="E4" i="57"/>
  <c r="E6" i="73"/>
  <c r="H4" i="57"/>
  <c r="D9" i="73" s="1"/>
  <c r="E9" i="73"/>
  <c r="L10" i="74"/>
  <c r="R10" i="74"/>
  <c r="Z10" i="74"/>
  <c r="R24" i="74"/>
  <c r="R32" i="74"/>
  <c r="R26" i="74"/>
  <c r="R20" i="74"/>
  <c r="R33" i="74"/>
  <c r="R18" i="74"/>
  <c r="R21" i="74"/>
  <c r="R14" i="74"/>
  <c r="R12" i="74"/>
  <c r="R27" i="74"/>
  <c r="R34" i="74"/>
  <c r="R13" i="74"/>
  <c r="R11" i="74"/>
  <c r="R15" i="74"/>
  <c r="R19" i="74"/>
  <c r="R28" i="74"/>
  <c r="R22" i="74"/>
  <c r="R29" i="74"/>
  <c r="R31" i="74"/>
  <c r="R16" i="74"/>
  <c r="R17" i="74"/>
  <c r="R25" i="74"/>
  <c r="R23" i="74"/>
  <c r="R30" i="74"/>
  <c r="T11" i="73"/>
  <c r="T10" i="73"/>
  <c r="T19" i="73"/>
  <c r="T23" i="73"/>
  <c r="T27" i="73"/>
  <c r="T31" i="73"/>
  <c r="T15" i="73"/>
  <c r="T12" i="73"/>
  <c r="T16" i="73"/>
  <c r="T20" i="73"/>
  <c r="T24" i="73"/>
  <c r="T28" i="73"/>
  <c r="T32" i="73"/>
  <c r="T13" i="73"/>
  <c r="T17" i="73"/>
  <c r="T21" i="73"/>
  <c r="T25" i="73"/>
  <c r="T29" i="73"/>
  <c r="T33" i="73"/>
  <c r="T14" i="73"/>
  <c r="T18" i="73"/>
  <c r="T22" i="73"/>
  <c r="T26" i="73"/>
  <c r="T30" i="73"/>
  <c r="T4" i="74"/>
  <c r="AG26" i="66"/>
  <c r="L34" i="74"/>
  <c r="AF26" i="66"/>
  <c r="L33" i="74"/>
  <c r="AE26" i="66"/>
  <c r="L32" i="74"/>
  <c r="AD26" i="66"/>
  <c r="L31" i="74"/>
  <c r="AC26" i="66"/>
  <c r="L30" i="74"/>
  <c r="AB26" i="66"/>
  <c r="L29" i="74"/>
  <c r="AA26" i="66"/>
  <c r="L28" i="74"/>
  <c r="Z26" i="66"/>
  <c r="L27" i="74"/>
  <c r="Y26" i="66"/>
  <c r="L26" i="74"/>
  <c r="X26" i="66"/>
  <c r="L25" i="74"/>
  <c r="W26" i="66"/>
  <c r="L24" i="74"/>
  <c r="V26" i="66"/>
  <c r="L23" i="74"/>
  <c r="U26" i="66"/>
  <c r="L22" i="74"/>
  <c r="T26" i="66"/>
  <c r="L21" i="74"/>
  <c r="S26" i="66"/>
  <c r="L20" i="74"/>
  <c r="R26" i="66"/>
  <c r="L19" i="74"/>
  <c r="Q26" i="66"/>
  <c r="L18" i="74"/>
  <c r="P26" i="66"/>
  <c r="L17" i="74"/>
  <c r="O26" i="66"/>
  <c r="L16" i="74"/>
  <c r="N26" i="66"/>
  <c r="L15" i="74"/>
  <c r="M26" i="66"/>
  <c r="L14" i="74"/>
  <c r="L26" i="66"/>
  <c r="L13" i="74"/>
  <c r="K26" i="66"/>
  <c r="L12" i="74"/>
  <c r="J26" i="66"/>
  <c r="L11" i="74"/>
  <c r="S4" i="73"/>
  <c r="Q4" i="73"/>
  <c r="D27" i="59"/>
  <c r="E27" i="59"/>
  <c r="F27" i="59"/>
  <c r="C27" i="59"/>
  <c r="G16" i="57"/>
  <c r="H16" i="57"/>
  <c r="F16" i="57"/>
  <c r="D16" i="57"/>
  <c r="C5" i="57"/>
  <c r="E4" i="73" s="1"/>
  <c r="E16" i="57"/>
  <c r="C23" i="57" l="1"/>
  <c r="K35" i="58" s="1"/>
  <c r="D5" i="73"/>
  <c r="C4" i="57"/>
  <c r="D4" i="73" s="1"/>
  <c r="D9" i="57"/>
  <c r="I5" i="73" s="1"/>
  <c r="H15" i="57"/>
  <c r="O9" i="73" s="1"/>
  <c r="E15" i="57"/>
  <c r="O6" i="73" s="1"/>
  <c r="D6" i="73"/>
  <c r="Z21" i="74"/>
  <c r="Z25" i="74"/>
  <c r="Z29" i="74"/>
  <c r="Z33" i="74"/>
  <c r="Z14" i="74"/>
  <c r="Z18" i="74"/>
  <c r="Z22" i="74"/>
  <c r="Z26" i="74"/>
  <c r="Z30" i="74"/>
  <c r="Z34" i="74"/>
  <c r="Z13" i="74"/>
  <c r="Z15" i="74"/>
  <c r="Z23" i="74"/>
  <c r="Z27" i="74"/>
  <c r="Z31" i="74"/>
  <c r="Z17" i="74"/>
  <c r="Z19" i="74"/>
  <c r="Z11" i="74"/>
  <c r="Z12" i="74"/>
  <c r="Z16" i="74"/>
  <c r="Z20" i="74"/>
  <c r="Z24" i="74"/>
  <c r="Z28" i="74"/>
  <c r="Z32" i="74"/>
  <c r="O5" i="73"/>
  <c r="P5" i="73"/>
  <c r="P6" i="73"/>
  <c r="P7" i="73"/>
  <c r="P8" i="73"/>
  <c r="P9" i="73"/>
  <c r="K31" i="64"/>
  <c r="L31" i="64"/>
  <c r="J31" i="64"/>
  <c r="I31" i="64"/>
  <c r="C16" i="57"/>
  <c r="H27" i="59"/>
  <c r="H31" i="64"/>
  <c r="H32" i="64" s="1"/>
  <c r="H9" i="57"/>
  <c r="E9" i="57"/>
  <c r="F9" i="57"/>
  <c r="F15" i="57"/>
  <c r="G9" i="57"/>
  <c r="G15" i="57"/>
  <c r="J32" i="64" l="1"/>
  <c r="F5" i="66" s="1"/>
  <c r="K32" i="64"/>
  <c r="G5" i="66" s="1"/>
  <c r="L32" i="64"/>
  <c r="H5" i="66" s="1"/>
  <c r="I32" i="64"/>
  <c r="E5" i="66" s="1"/>
  <c r="E38" i="73"/>
  <c r="K99" i="58"/>
  <c r="K91" i="58"/>
  <c r="I9" i="73"/>
  <c r="O7" i="73"/>
  <c r="O8" i="73"/>
  <c r="P4" i="73"/>
  <c r="G20" i="57"/>
  <c r="I8" i="73"/>
  <c r="F20" i="57"/>
  <c r="I7" i="73"/>
  <c r="E20" i="57"/>
  <c r="I6" i="73"/>
  <c r="H20" i="57"/>
  <c r="C24" i="57"/>
  <c r="C22" i="57"/>
  <c r="C15" i="57"/>
  <c r="M31" i="64"/>
  <c r="K83" i="58"/>
  <c r="K27" i="58"/>
  <c r="K75" i="58"/>
  <c r="K59" i="58"/>
  <c r="K67" i="58"/>
  <c r="K43" i="58"/>
  <c r="K51" i="58"/>
  <c r="C4" i="67"/>
  <c r="D20" i="57"/>
  <c r="C9" i="57"/>
  <c r="E6" i="74" l="1"/>
  <c r="E4" i="66"/>
  <c r="E12" i="66" s="1"/>
  <c r="E19" i="66"/>
  <c r="S6" i="74" s="1"/>
  <c r="E9" i="74"/>
  <c r="H4" i="66"/>
  <c r="H12" i="66" s="1"/>
  <c r="H19" i="66"/>
  <c r="S9" i="74" s="1"/>
  <c r="E8" i="74"/>
  <c r="G4" i="66"/>
  <c r="G12" i="66" s="1"/>
  <c r="G19" i="66"/>
  <c r="E7" i="74"/>
  <c r="F19" i="66"/>
  <c r="S7" i="74" s="1"/>
  <c r="F4" i="66"/>
  <c r="F12" i="66" s="1"/>
  <c r="D6" i="74"/>
  <c r="S8" i="74"/>
  <c r="T7" i="73"/>
  <c r="T8" i="73"/>
  <c r="T9" i="73"/>
  <c r="T6" i="73"/>
  <c r="T5" i="73"/>
  <c r="J99" i="58"/>
  <c r="E37" i="73"/>
  <c r="L99" i="58"/>
  <c r="E39" i="73"/>
  <c r="O4" i="73"/>
  <c r="I4" i="73"/>
  <c r="C20" i="57"/>
  <c r="E23" i="57"/>
  <c r="E22" i="57"/>
  <c r="J35" i="58"/>
  <c r="J91" i="58"/>
  <c r="L35" i="58"/>
  <c r="L91" i="58"/>
  <c r="D5" i="66"/>
  <c r="M32" i="64"/>
  <c r="L83" i="58"/>
  <c r="L27" i="58"/>
  <c r="J83" i="58"/>
  <c r="J27" i="58"/>
  <c r="L67" i="58"/>
  <c r="L59" i="58"/>
  <c r="L51" i="58"/>
  <c r="L43" i="58"/>
  <c r="C5" i="67"/>
  <c r="L75" i="58"/>
  <c r="J75" i="58"/>
  <c r="J59" i="58"/>
  <c r="J67" i="58"/>
  <c r="J43" i="58"/>
  <c r="J51" i="58"/>
  <c r="C3" i="67"/>
  <c r="E18" i="66" l="1"/>
  <c r="R6" i="74" s="1"/>
  <c r="D9" i="74"/>
  <c r="H18" i="66"/>
  <c r="R9" i="74" s="1"/>
  <c r="G18" i="66"/>
  <c r="R8" i="74" s="1"/>
  <c r="D8" i="74"/>
  <c r="D7" i="74"/>
  <c r="F18" i="66"/>
  <c r="R7" i="74" s="1"/>
  <c r="E5" i="74"/>
  <c r="D4" i="66"/>
  <c r="H26" i="66"/>
  <c r="L9" i="74"/>
  <c r="G26" i="66"/>
  <c r="L8" i="74"/>
  <c r="F26" i="66"/>
  <c r="L7" i="74"/>
  <c r="E26" i="66"/>
  <c r="L6" i="74"/>
  <c r="T4" i="73"/>
  <c r="D19" i="66"/>
  <c r="C5" i="66"/>
  <c r="E4" i="74" s="1"/>
  <c r="Z7" i="74" l="1"/>
  <c r="Z8" i="74"/>
  <c r="Z6" i="74"/>
  <c r="Z9" i="74"/>
  <c r="C19" i="66"/>
  <c r="S5" i="74"/>
  <c r="C29" i="66"/>
  <c r="D5" i="74"/>
  <c r="D18" i="66"/>
  <c r="C4" i="66"/>
  <c r="D12" i="66"/>
  <c r="C30" i="66" s="1"/>
  <c r="E38" i="74" l="1"/>
  <c r="S4" i="74"/>
  <c r="C18" i="66"/>
  <c r="R5" i="74"/>
  <c r="L5" i="74"/>
  <c r="D4" i="74"/>
  <c r="C28" i="66"/>
  <c r="N91" i="58"/>
  <c r="N99" i="58"/>
  <c r="N35" i="58"/>
  <c r="N51" i="58"/>
  <c r="N67" i="58"/>
  <c r="C7" i="67"/>
  <c r="N59" i="58"/>
  <c r="N83" i="58"/>
  <c r="N27" i="58"/>
  <c r="N75" i="58"/>
  <c r="N43" i="58"/>
  <c r="C12" i="66"/>
  <c r="D26" i="66"/>
  <c r="R4" i="74" l="1"/>
  <c r="E39" i="74"/>
  <c r="M91" i="58"/>
  <c r="E37" i="74"/>
  <c r="C26" i="66"/>
  <c r="Z5" i="74"/>
  <c r="E29" i="66"/>
  <c r="E28" i="66"/>
  <c r="L4" i="74"/>
  <c r="M99" i="58"/>
  <c r="O91" i="58"/>
  <c r="O99" i="58"/>
  <c r="M35" i="58"/>
  <c r="M43" i="58"/>
  <c r="M59" i="58"/>
  <c r="M51" i="58"/>
  <c r="M67" i="58"/>
  <c r="C6" i="67"/>
  <c r="M75" i="58"/>
  <c r="M83" i="58"/>
  <c r="M27" i="58"/>
  <c r="O35" i="58"/>
  <c r="O75" i="58"/>
  <c r="O59" i="58"/>
  <c r="O43" i="58"/>
  <c r="O51" i="58"/>
  <c r="C8" i="67"/>
  <c r="O67" i="58"/>
  <c r="O83" i="58"/>
  <c r="O27" i="58"/>
  <c r="Z4" i="7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tc={A1A92486-DB17-407B-BE5E-0D7F8C803349}</author>
    <author>tc={783FD8C0-C645-4805-AFEA-487549E9B8AD}</author>
  </authors>
  <commentList>
    <comment ref="AG9" authorId="0" shapeId="0" xr:uid="{A1A92486-DB17-407B-BE5E-0D7F8C803349}">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Including salvage value</t>
      </text>
    </comment>
    <comment ref="AG20" authorId="1" shapeId="0" xr:uid="{783FD8C0-C645-4805-AFEA-487549E9B8AD}">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Including salvage value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tc={F95877FF-27E0-4BFA-85F0-0D7E3191652C}</author>
    <author>tc={E5EE4A55-A4CC-4DB2-A899-31839E949029}</author>
  </authors>
  <commentList>
    <comment ref="I34" authorId="0" shapeId="0" xr:uid="{F95877FF-27E0-4BFA-85F0-0D7E3191652C}">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Including salvage value</t>
      </text>
    </comment>
    <comment ref="T34" authorId="1" shapeId="0" xr:uid="{E5EE4A55-A4CC-4DB2-A899-31839E949029}">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Including salvage value</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tc={24700379-0585-4A1C-876C-66EDEC12BB9D}</author>
    <author>tc={E8430EF6-C150-4995-91A2-1D3F0819A8B4}</author>
  </authors>
  <commentList>
    <comment ref="AG12" authorId="0" shapeId="0" xr:uid="{24700379-0585-4A1C-876C-66EDEC12BB9D}">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Including salvage value</t>
      </text>
    </comment>
    <comment ref="AG26" authorId="1" shapeId="0" xr:uid="{E8430EF6-C150-4995-91A2-1D3F0819A8B4}">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Including salvage value</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tc={523FF688-6506-4B39-A5D0-BB9E8FFCF5D9}</author>
    <author>tc={0CF4C30A-883C-4A2E-A304-F872930C5ED6}</author>
  </authors>
  <commentList>
    <comment ref="L34" authorId="0" shapeId="0" xr:uid="{523FF688-6506-4B39-A5D0-BB9E8FFCF5D9}">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Including salvage value</t>
      </text>
    </comment>
    <comment ref="Z34" authorId="1" shapeId="0" xr:uid="{0CF4C30A-883C-4A2E-A304-F872930C5ED6}">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Including salvage value</t>
      </text>
    </comment>
  </commentList>
</comments>
</file>

<file path=xl/sharedStrings.xml><?xml version="1.0" encoding="utf-8"?>
<sst xmlns="http://schemas.openxmlformats.org/spreadsheetml/2006/main" count="969" uniqueCount="264">
  <si>
    <t>Year</t>
    <phoneticPr fontId="4"/>
  </si>
  <si>
    <t>Total Costs</t>
    <phoneticPr fontId="4"/>
  </si>
  <si>
    <t>Total Benefits</t>
    <phoneticPr fontId="4"/>
  </si>
  <si>
    <t>Net Benefits</t>
    <phoneticPr fontId="4"/>
  </si>
  <si>
    <t>Foreign Currency (USD)</t>
    <phoneticPr fontId="4"/>
  </si>
  <si>
    <t>Materials &amp; Equipment Costs</t>
    <phoneticPr fontId="4"/>
  </si>
  <si>
    <t>Labor Costs</t>
    <phoneticPr fontId="4"/>
  </si>
  <si>
    <t>Land Acquisition/Compensation Costs</t>
    <phoneticPr fontId="4"/>
  </si>
  <si>
    <t>General/Administrative Costs (Overhead Costs)</t>
    <phoneticPr fontId="4"/>
  </si>
  <si>
    <t xml:space="preserve">    Skilled Workers</t>
    <phoneticPr fontId="4"/>
  </si>
  <si>
    <t xml:space="preserve">    Unskilled Workers</t>
    <phoneticPr fontId="4"/>
  </si>
  <si>
    <t>Item</t>
    <phoneticPr fontId="4"/>
  </si>
  <si>
    <t>Salvage Value of Investment</t>
    <phoneticPr fontId="4"/>
  </si>
  <si>
    <t>Insurance</t>
    <phoneticPr fontId="4"/>
  </si>
  <si>
    <t>Spares &amp; Maintenance</t>
    <phoneticPr fontId="4"/>
  </si>
  <si>
    <t>Financial Costs</t>
    <phoneticPr fontId="4"/>
  </si>
  <si>
    <t>Economic Costs</t>
    <phoneticPr fontId="4"/>
  </si>
  <si>
    <t>➡</t>
    <phoneticPr fontId="4"/>
  </si>
  <si>
    <t>FIRR</t>
    <phoneticPr fontId="4"/>
  </si>
  <si>
    <t>FNPV</t>
    <phoneticPr fontId="4"/>
  </si>
  <si>
    <t>FBCR</t>
    <phoneticPr fontId="4"/>
  </si>
  <si>
    <t>Conversion Factor</t>
    <phoneticPr fontId="4"/>
  </si>
  <si>
    <t>Discount Rate</t>
    <phoneticPr fontId="4"/>
  </si>
  <si>
    <t>Contingency</t>
    <phoneticPr fontId="4"/>
  </si>
  <si>
    <t>Total</t>
    <phoneticPr fontId="4"/>
  </si>
  <si>
    <t>Price Contingency</t>
    <phoneticPr fontId="4"/>
  </si>
  <si>
    <t>Physical Contingency</t>
    <phoneticPr fontId="4"/>
  </si>
  <si>
    <t>Local Currency (BDT)</t>
    <phoneticPr fontId="4"/>
  </si>
  <si>
    <t>Total 
(BDT)</t>
    <phoneticPr fontId="4"/>
  </si>
  <si>
    <t>Annual Initial Investment Costs (BDT)</t>
    <phoneticPr fontId="4"/>
  </si>
  <si>
    <t>Salvage</t>
    <phoneticPr fontId="4"/>
  </si>
  <si>
    <t>--</t>
    <phoneticPr fontId="4"/>
  </si>
  <si>
    <t>Taxes, Subsidies (Transfers)</t>
    <phoneticPr fontId="4"/>
  </si>
  <si>
    <t xml:space="preserve">    Shadow Wage Rate Factor (SWRF) [=1/Conversion Factor for Unskilled Labor]</t>
    <phoneticPr fontId="4"/>
  </si>
  <si>
    <t>Annual Revenues</t>
    <phoneticPr fontId="4"/>
  </si>
  <si>
    <t>Annual Cost Savings during Construction (cumulative %)</t>
    <phoneticPr fontId="4"/>
  </si>
  <si>
    <r>
      <t xml:space="preserve">Annual Cost Savings </t>
    </r>
    <r>
      <rPr>
        <b/>
        <u/>
        <sz val="11"/>
        <color theme="1"/>
        <rFont val="游ゴシック"/>
        <family val="3"/>
        <charset val="128"/>
        <scheme val="minor"/>
      </rPr>
      <t>during Construction</t>
    </r>
    <r>
      <rPr>
        <b/>
        <sz val="11"/>
        <color theme="1"/>
        <rFont val="游ゴシック"/>
        <family val="3"/>
        <charset val="128"/>
        <scheme val="minor"/>
      </rPr>
      <t xml:space="preserve"> (BDT), if any</t>
    </r>
    <phoneticPr fontId="4"/>
  </si>
  <si>
    <t>Incremental Outputs</t>
    <phoneticPr fontId="4"/>
  </si>
  <si>
    <t>Non-incremental Outputs</t>
    <phoneticPr fontId="4"/>
  </si>
  <si>
    <r>
      <t xml:space="preserve">Annual Incremental Outputs </t>
    </r>
    <r>
      <rPr>
        <b/>
        <u/>
        <sz val="11"/>
        <color theme="1"/>
        <rFont val="游ゴシック"/>
        <family val="3"/>
        <charset val="128"/>
        <scheme val="minor"/>
      </rPr>
      <t>during Construction</t>
    </r>
    <r>
      <rPr>
        <b/>
        <sz val="11"/>
        <color theme="1"/>
        <rFont val="游ゴシック"/>
        <family val="3"/>
        <charset val="128"/>
        <scheme val="minor"/>
      </rPr>
      <t xml:space="preserve"> (BDT), if any</t>
    </r>
    <phoneticPr fontId="4"/>
  </si>
  <si>
    <t xml:space="preserve">  Incremental Outputs</t>
    <phoneticPr fontId="4"/>
  </si>
  <si>
    <t xml:space="preserve"> (=100%)</t>
    <phoneticPr fontId="4"/>
  </si>
  <si>
    <r>
      <t xml:space="preserve">Annual Revenues </t>
    </r>
    <r>
      <rPr>
        <b/>
        <u/>
        <sz val="11"/>
        <color theme="1"/>
        <rFont val="游ゴシック"/>
        <family val="3"/>
        <charset val="128"/>
        <scheme val="minor"/>
      </rPr>
      <t>during Construction</t>
    </r>
    <r>
      <rPr>
        <b/>
        <sz val="11"/>
        <color theme="1"/>
        <rFont val="游ゴシック"/>
        <family val="3"/>
        <charset val="128"/>
        <scheme val="minor"/>
      </rPr>
      <t xml:space="preserve"> (BDT), if any</t>
    </r>
    <phoneticPr fontId="4"/>
  </si>
  <si>
    <t>ENPV</t>
    <phoneticPr fontId="4"/>
  </si>
  <si>
    <t>EIRR</t>
    <phoneticPr fontId="4"/>
  </si>
  <si>
    <t>EBCR</t>
    <phoneticPr fontId="4"/>
  </si>
  <si>
    <t>Indicator</t>
    <phoneticPr fontId="4"/>
  </si>
  <si>
    <t xml:space="preserve">    Salvage (Residual) Value (%)</t>
    <phoneticPr fontId="4"/>
  </si>
  <si>
    <t>Economic Code</t>
    <phoneticPr fontId="4"/>
  </si>
  <si>
    <t>Unit</t>
    <phoneticPr fontId="4"/>
  </si>
  <si>
    <t>Quantity</t>
    <phoneticPr fontId="4"/>
  </si>
  <si>
    <t>GOB
(FE)</t>
  </si>
  <si>
    <t>Project Aid</t>
    <phoneticPr fontId="4"/>
  </si>
  <si>
    <t>Own 
Fund
(FE)</t>
    <phoneticPr fontId="4"/>
  </si>
  <si>
    <t>Others</t>
  </si>
  <si>
    <t>% of Total Project Cost</t>
    <phoneticPr fontId="4"/>
  </si>
  <si>
    <t>RPA</t>
  </si>
  <si>
    <t>DPA</t>
  </si>
  <si>
    <t>Through GOB</t>
    <phoneticPr fontId="4"/>
  </si>
  <si>
    <t>Through
PD</t>
  </si>
  <si>
    <t>Through
DP</t>
  </si>
  <si>
    <t>(1)</t>
    <phoneticPr fontId="4"/>
  </si>
  <si>
    <t>(2)</t>
    <phoneticPr fontId="4"/>
  </si>
  <si>
    <t>(3)</t>
    <phoneticPr fontId="4"/>
  </si>
  <si>
    <t>(4)</t>
  </si>
  <si>
    <t>(5)</t>
  </si>
  <si>
    <t>(6)</t>
  </si>
  <si>
    <t>(7)</t>
  </si>
  <si>
    <t>(8)</t>
  </si>
  <si>
    <t>(9)</t>
  </si>
  <si>
    <t>(10)</t>
  </si>
  <si>
    <t>(11)</t>
  </si>
  <si>
    <t>(12)</t>
  </si>
  <si>
    <t>(13)</t>
  </si>
  <si>
    <t>(a) Revenue:</t>
    <phoneticPr fontId="4"/>
  </si>
  <si>
    <t>(b) Capital:</t>
    <phoneticPr fontId="4"/>
  </si>
  <si>
    <t>Revenue Source I</t>
    <phoneticPr fontId="4"/>
  </si>
  <si>
    <t>Revenue Source II</t>
    <phoneticPr fontId="4"/>
  </si>
  <si>
    <t>Revenue Source III</t>
    <phoneticPr fontId="4"/>
  </si>
  <si>
    <t>Value</t>
    <phoneticPr fontId="4"/>
  </si>
  <si>
    <t>(i) Financial Net Present Value (FNPV)</t>
    <phoneticPr fontId="4"/>
  </si>
  <si>
    <t>(i) Economic Net Present Value (ENPV)</t>
    <phoneticPr fontId="4"/>
  </si>
  <si>
    <t>(ii) Financial Benefit-Cost Ratio (FBCR)</t>
    <phoneticPr fontId="4"/>
  </si>
  <si>
    <t>(iiI) Financial Internal Rate of Return (FIRR)</t>
    <phoneticPr fontId="4"/>
  </si>
  <si>
    <t>(ii) Economic Benefit-Cost Ratio (EBCR)</t>
    <phoneticPr fontId="4"/>
  </si>
  <si>
    <t>(iii) Economic Internal Rate of Return (EIRR)</t>
    <phoneticPr fontId="4"/>
  </si>
  <si>
    <t>(Taka in Lac)</t>
    <phoneticPr fontId="4"/>
  </si>
  <si>
    <t>Detailed Estimated Cost</t>
    <phoneticPr fontId="4"/>
  </si>
  <si>
    <t>Economic Sub-code</t>
    <phoneticPr fontId="4"/>
  </si>
  <si>
    <t>Economic Sub-code
Description (In Detail)</t>
    <phoneticPr fontId="4"/>
  </si>
  <si>
    <t>Unit Cost</t>
    <phoneticPr fontId="4"/>
  </si>
  <si>
    <t>Special Account*</t>
    <phoneticPr fontId="4"/>
  </si>
  <si>
    <t>(14)</t>
  </si>
  <si>
    <t>(15)</t>
  </si>
  <si>
    <t>Sub total of Revenue</t>
    <phoneticPr fontId="4"/>
  </si>
  <si>
    <t>Sub total of Capital</t>
    <phoneticPr fontId="4"/>
  </si>
  <si>
    <t>Total (a+b+c+d)</t>
    <phoneticPr fontId="4"/>
  </si>
  <si>
    <t>* DOSA, CONTASA, SAFE, Imprest, etc.</t>
    <phoneticPr fontId="4"/>
  </si>
  <si>
    <t>Financial Analysis</t>
    <phoneticPr fontId="4"/>
  </si>
  <si>
    <t>Economic Analysis</t>
    <phoneticPr fontId="4"/>
  </si>
  <si>
    <t>System Loss</t>
    <phoneticPr fontId="4"/>
  </si>
  <si>
    <t>(years)</t>
    <phoneticPr fontId="4"/>
  </si>
  <si>
    <t>(%)</t>
    <phoneticPr fontId="4"/>
  </si>
  <si>
    <t>(USD/BDT)</t>
    <phoneticPr fontId="4"/>
  </si>
  <si>
    <t xml:space="preserve">    Financial Discount Rate</t>
    <phoneticPr fontId="4"/>
  </si>
  <si>
    <t xml:space="preserve">    Physical Contingency</t>
    <phoneticPr fontId="4"/>
  </si>
  <si>
    <t xml:space="preserve">    Price Contingency, Local currency</t>
    <phoneticPr fontId="4"/>
  </si>
  <si>
    <t>Construction Period</t>
    <phoneticPr fontId="4"/>
  </si>
  <si>
    <t>(#)</t>
    <phoneticPr fontId="4"/>
  </si>
  <si>
    <t>Existing Customers</t>
    <phoneticPr fontId="4"/>
  </si>
  <si>
    <t>(BDT/kWh)</t>
    <phoneticPr fontId="4"/>
  </si>
  <si>
    <t>(mins/day)</t>
    <phoneticPr fontId="4"/>
  </si>
  <si>
    <t>(hrs/year)</t>
    <phoneticPr fontId="4"/>
  </si>
  <si>
    <t xml:space="preserve">    Economic (Social) Discount Rate</t>
    <phoneticPr fontId="4"/>
  </si>
  <si>
    <t xml:space="preserve">  (lakh)</t>
    <phoneticPr fontId="4"/>
  </si>
  <si>
    <t>NPV</t>
  </si>
  <si>
    <t>BCR</t>
  </si>
  <si>
    <t>IRR</t>
  </si>
  <si>
    <t>Growth in Capacity Utilization/Growth of Demand for Electricity</t>
    <phoneticPr fontId="4"/>
  </si>
  <si>
    <t>Parameter/Assumption</t>
    <phoneticPr fontId="4"/>
  </si>
  <si>
    <t xml:space="preserve">    Costs of Fixed Investment</t>
    <phoneticPr fontId="4"/>
  </si>
  <si>
    <t>Investment I -- Buildings</t>
    <phoneticPr fontId="4"/>
  </si>
  <si>
    <t>Investment III -- Land</t>
    <phoneticPr fontId="4"/>
  </si>
  <si>
    <t xml:space="preserve"> (=0)</t>
    <phoneticPr fontId="4"/>
  </si>
  <si>
    <t>Change in Total Benefits</t>
    <phoneticPr fontId="4"/>
  </si>
  <si>
    <t>(%)</t>
  </si>
  <si>
    <t>Change in Total Costs</t>
    <phoneticPr fontId="4"/>
  </si>
  <si>
    <t>Level of Total Benefis</t>
    <phoneticPr fontId="4"/>
  </si>
  <si>
    <t>Level of Total Costs</t>
    <phoneticPr fontId="4"/>
  </si>
  <si>
    <t>Project
Aid</t>
    <phoneticPr fontId="4"/>
  </si>
  <si>
    <t>GOB</t>
    <phoneticPr fontId="4"/>
  </si>
  <si>
    <t>Own Funds</t>
    <phoneticPr fontId="4"/>
  </si>
  <si>
    <t>Total (BDT)</t>
    <phoneticPr fontId="4"/>
  </si>
  <si>
    <t>Investment II -- Equipment (Overhead &amp; underground line construction)</t>
    <phoneticPr fontId="4"/>
  </si>
  <si>
    <t>Reduction in Load Shedding per day</t>
    <phoneticPr fontId="4"/>
  </si>
  <si>
    <t>Reduction in Load Shedding per year</t>
    <phoneticPr fontId="4"/>
  </si>
  <si>
    <t>Average Sales Rate per kWh</t>
    <phoneticPr fontId="4"/>
  </si>
  <si>
    <t>Total Capacity to be Increased per hour</t>
    <phoneticPr fontId="4"/>
  </si>
  <si>
    <t>Total Capacity to be Increased per year</t>
    <phoneticPr fontId="4"/>
  </si>
  <si>
    <t>Additional Supply of Electricity to Meet Demand per year</t>
    <phoneticPr fontId="4"/>
  </si>
  <si>
    <t>(MVA/hour)</t>
    <phoneticPr fontId="4"/>
  </si>
  <si>
    <t>(MVA/year)</t>
    <phoneticPr fontId="4"/>
  </si>
  <si>
    <t xml:space="preserve"> *1MVA = 1,000kW</t>
    <phoneticPr fontId="4"/>
  </si>
  <si>
    <t>Cost of Electricity Produced Privately per kWh</t>
    <phoneticPr fontId="4"/>
  </si>
  <si>
    <t>Initial Capacity Utilization after Construction</t>
    <phoneticPr fontId="4"/>
  </si>
  <si>
    <t xml:space="preserve">  Financial Benefits/Revenues</t>
    <phoneticPr fontId="4"/>
  </si>
  <si>
    <t xml:space="preserve">  Non-incremental Outputs (Cost Savings)</t>
    <phoneticPr fontId="4"/>
  </si>
  <si>
    <r>
      <t>Salvage Value of Investment</t>
    </r>
    <r>
      <rPr>
        <sz val="11"/>
        <color theme="1"/>
        <rFont val="游ゴシック"/>
        <family val="3"/>
        <charset val="128"/>
        <scheme val="minor"/>
      </rPr>
      <t xml:space="preserve"> [=TC*SPF]</t>
    </r>
    <phoneticPr fontId="4"/>
  </si>
  <si>
    <t xml:space="preserve">*Entering data in the beige-colored cells is required. </t>
    <phoneticPr fontId="4"/>
  </si>
  <si>
    <t>(Discrepancy with Total Initial Investment Costs)</t>
    <phoneticPr fontId="4"/>
  </si>
  <si>
    <t>[default: 1.15]</t>
    <phoneticPr fontId="4"/>
  </si>
  <si>
    <t>[default: 1.45]</t>
    <phoneticPr fontId="4"/>
  </si>
  <si>
    <t>[default: 100]</t>
    <phoneticPr fontId="4"/>
  </si>
  <si>
    <t>[default: 30]</t>
    <phoneticPr fontId="4"/>
  </si>
  <si>
    <t>[default: 5]</t>
    <phoneticPr fontId="4"/>
  </si>
  <si>
    <t>[default: 100,000]</t>
    <phoneticPr fontId="4"/>
  </si>
  <si>
    <t>[default: 595]</t>
    <phoneticPr fontId="4"/>
  </si>
  <si>
    <t>[default: 8.05]</t>
    <phoneticPr fontId="4"/>
  </si>
  <si>
    <t>[default: 6.75]</t>
    <phoneticPr fontId="4"/>
  </si>
  <si>
    <t>[default: 5.25%]</t>
    <phoneticPr fontId="4"/>
  </si>
  <si>
    <t>[default: 12.00]</t>
    <phoneticPr fontId="4"/>
  </si>
  <si>
    <t>[default: 12]</t>
    <phoneticPr fontId="4"/>
  </si>
  <si>
    <t>[default: 100%]</t>
    <phoneticPr fontId="4"/>
  </si>
  <si>
    <t>Average Cost of Input (Purchase rate + Wheeling charge) per KWh</t>
    <phoneticPr fontId="4"/>
  </si>
  <si>
    <t>DF</t>
    <phoneticPr fontId="4"/>
  </si>
  <si>
    <r>
      <t xml:space="preserve">Annual Cost Savings </t>
    </r>
    <r>
      <rPr>
        <b/>
        <u/>
        <sz val="11"/>
        <color theme="1"/>
        <rFont val="游ゴシック"/>
        <family val="3"/>
        <charset val="128"/>
        <scheme val="minor"/>
      </rPr>
      <t>after Construction</t>
    </r>
    <r>
      <rPr>
        <b/>
        <sz val="11"/>
        <color theme="1"/>
        <rFont val="游ゴシック"/>
        <family val="3"/>
        <charset val="128"/>
        <scheme val="minor"/>
      </rPr>
      <t xml:space="preserve"> (BDT)</t>
    </r>
    <phoneticPr fontId="4"/>
  </si>
  <si>
    <r>
      <t xml:space="preserve">Annual Revenues </t>
    </r>
    <r>
      <rPr>
        <b/>
        <u/>
        <sz val="11"/>
        <color theme="1"/>
        <rFont val="游ゴシック"/>
        <family val="3"/>
        <charset val="128"/>
        <scheme val="minor"/>
      </rPr>
      <t>after Construction</t>
    </r>
    <r>
      <rPr>
        <b/>
        <sz val="11"/>
        <color theme="1"/>
        <rFont val="游ゴシック"/>
        <family val="3"/>
        <charset val="128"/>
        <scheme val="minor"/>
      </rPr>
      <t xml:space="preserve"> (BDT)</t>
    </r>
    <phoneticPr fontId="4"/>
  </si>
  <si>
    <r>
      <t xml:space="preserve">Annual Incremental Outputs </t>
    </r>
    <r>
      <rPr>
        <b/>
        <u/>
        <sz val="11"/>
        <color theme="1"/>
        <rFont val="游ゴシック"/>
        <family val="3"/>
        <charset val="128"/>
        <scheme val="minor"/>
      </rPr>
      <t>after Construction</t>
    </r>
    <r>
      <rPr>
        <b/>
        <sz val="11"/>
        <color theme="1"/>
        <rFont val="游ゴシック"/>
        <family val="3"/>
        <charset val="128"/>
        <scheme val="minor"/>
      </rPr>
      <t xml:space="preserve"> (BDT)</t>
    </r>
    <phoneticPr fontId="4"/>
  </si>
  <si>
    <t>Annual Cost Savings after Costruction (cumulative %)</t>
    <phoneticPr fontId="4"/>
  </si>
  <si>
    <t>At Constant Prices/Before Discounting (lakh)</t>
    <phoneticPr fontId="4"/>
  </si>
  <si>
    <t>Present Values (lakh)</t>
    <phoneticPr fontId="4"/>
  </si>
  <si>
    <t xml:space="preserve"> *Do not change the first row.</t>
    <phoneticPr fontId="4"/>
  </si>
  <si>
    <t xml:space="preserve"> *It is assumed as 1% of the Input Purchase costs.</t>
    <phoneticPr fontId="4"/>
  </si>
  <si>
    <t xml:space="preserve"> *(&gt;=10 &amp; &lt;=30)</t>
    <phoneticPr fontId="4"/>
  </si>
  <si>
    <t xml:space="preserve"> *(&lt;=6)</t>
    <phoneticPr fontId="4"/>
  </si>
  <si>
    <t>Annual Operating Costs (Operation &amp; Maintenance Costs)</t>
    <phoneticPr fontId="4"/>
  </si>
  <si>
    <t>Annual Operating Costs after Construction (BDT)</t>
    <phoneticPr fontId="4"/>
  </si>
  <si>
    <t>Project Life &amp; Construction Period</t>
    <phoneticPr fontId="4"/>
  </si>
  <si>
    <t>Demand</t>
    <phoneticPr fontId="4"/>
  </si>
  <si>
    <t>Capacity</t>
    <phoneticPr fontId="4"/>
  </si>
  <si>
    <t>Price &amp; Costs</t>
    <phoneticPr fontId="4"/>
  </si>
  <si>
    <t>Service Improvement</t>
    <phoneticPr fontId="4"/>
  </si>
  <si>
    <t xml:space="preserve">  Initial Investment Costs</t>
    <phoneticPr fontId="4"/>
  </si>
  <si>
    <t xml:space="preserve">  Operating Costs (Operation &amp; Maintenance Costs)</t>
    <phoneticPr fontId="4"/>
  </si>
  <si>
    <t xml:space="preserve">  Salvage Value</t>
    <phoneticPr fontId="4"/>
  </si>
  <si>
    <t xml:space="preserve"> *choke price</t>
    <phoneticPr fontId="4"/>
  </si>
  <si>
    <t>Allocation Benefits among Generation/Transmission/Distribution</t>
    <phoneticPr fontId="4"/>
  </si>
  <si>
    <t>[default: 33.3%]</t>
    <phoneticPr fontId="4"/>
  </si>
  <si>
    <t>Consultant Costs</t>
    <phoneticPr fontId="4"/>
  </si>
  <si>
    <t>Project Life</t>
    <phoneticPr fontId="4"/>
  </si>
  <si>
    <t>Financial Benefits/Revenues</t>
    <phoneticPr fontId="4"/>
  </si>
  <si>
    <t>Economic Benefits/Revenues</t>
    <phoneticPr fontId="4"/>
  </si>
  <si>
    <t>Annual Revenues [=LC*SPF]</t>
    <phoneticPr fontId="4"/>
  </si>
  <si>
    <t xml:space="preserve">  Economic Benefits/Revenues</t>
    <phoneticPr fontId="4"/>
  </si>
  <si>
    <t xml:space="preserve"> *It is estimated as [total capacity to be increased]*[average cost of input].</t>
    <phoneticPr fontId="4"/>
  </si>
  <si>
    <r>
      <rPr>
        <b/>
        <u/>
        <sz val="11"/>
        <color theme="10"/>
        <rFont val="游ゴシック"/>
        <family val="3"/>
        <charset val="128"/>
        <scheme val="minor"/>
      </rPr>
      <t>0.Contents</t>
    </r>
    <r>
      <rPr>
        <u/>
        <sz val="11"/>
        <color theme="10"/>
        <rFont val="游ゴシック"/>
        <family val="2"/>
        <scheme val="minor"/>
      </rPr>
      <t xml:space="preserve"> </t>
    </r>
    <r>
      <rPr>
        <u/>
        <sz val="11"/>
        <color theme="10"/>
        <rFont val="游ゴシック"/>
        <family val="3"/>
        <charset val="128"/>
        <scheme val="minor"/>
      </rPr>
      <t>--&gt; Table of contents</t>
    </r>
    <phoneticPr fontId="4"/>
  </si>
  <si>
    <r>
      <rPr>
        <b/>
        <u/>
        <sz val="11"/>
        <color theme="10"/>
        <rFont val="游ゴシック"/>
        <family val="3"/>
        <charset val="128"/>
        <scheme val="minor"/>
      </rPr>
      <t>1.Params</t>
    </r>
    <r>
      <rPr>
        <u/>
        <sz val="11"/>
        <color theme="10"/>
        <rFont val="游ゴシック"/>
        <family val="3"/>
        <charset val="128"/>
        <scheme val="minor"/>
      </rPr>
      <t xml:space="preserve"> --&gt; Setting model parameters &amp; project assumptions/variables</t>
    </r>
    <phoneticPr fontId="4"/>
  </si>
  <si>
    <r>
      <rPr>
        <b/>
        <u/>
        <sz val="11"/>
        <color theme="10"/>
        <rFont val="游ゴシック"/>
        <family val="3"/>
        <charset val="128"/>
        <scheme val="minor"/>
      </rPr>
      <t>3.FBenefits</t>
    </r>
    <r>
      <rPr>
        <u/>
        <sz val="11"/>
        <color theme="10"/>
        <rFont val="游ゴシック"/>
        <family val="3"/>
        <charset val="128"/>
        <scheme val="minor"/>
      </rPr>
      <t xml:space="preserve"> --&gt; Identifying and quantifying financial benefits</t>
    </r>
    <phoneticPr fontId="4"/>
  </si>
  <si>
    <r>
      <rPr>
        <b/>
        <u/>
        <sz val="11"/>
        <color theme="10"/>
        <rFont val="游ゴシック"/>
        <family val="3"/>
        <charset val="128"/>
        <scheme val="minor"/>
      </rPr>
      <t>5.ECosts</t>
    </r>
    <r>
      <rPr>
        <u/>
        <sz val="11"/>
        <color theme="10"/>
        <rFont val="游ゴシック"/>
        <family val="3"/>
        <charset val="128"/>
        <scheme val="minor"/>
      </rPr>
      <t xml:space="preserve"> --&gt; Identifying and quantifying economic costs</t>
    </r>
    <phoneticPr fontId="4"/>
  </si>
  <si>
    <r>
      <rPr>
        <b/>
        <u/>
        <sz val="11"/>
        <color theme="10"/>
        <rFont val="游ゴシック"/>
        <family val="3"/>
        <charset val="128"/>
        <scheme val="minor"/>
      </rPr>
      <t>6.EBenefits</t>
    </r>
    <r>
      <rPr>
        <u/>
        <sz val="11"/>
        <color theme="10"/>
        <rFont val="游ゴシック"/>
        <family val="3"/>
        <charset val="128"/>
        <scheme val="minor"/>
      </rPr>
      <t xml:space="preserve"> --&gt; Identifying and quantifying economic benefits</t>
    </r>
    <phoneticPr fontId="4"/>
  </si>
  <si>
    <r>
      <rPr>
        <b/>
        <u/>
        <sz val="11"/>
        <color theme="10"/>
        <rFont val="游ゴシック"/>
        <family val="3"/>
        <charset val="128"/>
        <scheme val="minor"/>
      </rPr>
      <t>8.Sensitivity</t>
    </r>
    <r>
      <rPr>
        <u/>
        <sz val="11"/>
        <color theme="10"/>
        <rFont val="游ゴシック"/>
        <family val="3"/>
        <charset val="128"/>
        <scheme val="minor"/>
      </rPr>
      <t xml:space="preserve"> --&gt; Testing sensitivity of the results to parameters &amp; assumptions</t>
    </r>
    <phoneticPr fontId="4"/>
  </si>
  <si>
    <r>
      <rPr>
        <b/>
        <u/>
        <sz val="11"/>
        <color theme="10"/>
        <rFont val="游ゴシック"/>
        <family val="3"/>
        <charset val="128"/>
        <scheme val="minor"/>
      </rPr>
      <t>9.Results</t>
    </r>
    <r>
      <rPr>
        <u/>
        <sz val="11"/>
        <color theme="10"/>
        <rFont val="游ゴシック"/>
        <family val="3"/>
        <charset val="128"/>
        <scheme val="minor"/>
      </rPr>
      <t xml:space="preserve"> --&gt; Summarizing the results of financial and economic analysis</t>
    </r>
    <phoneticPr fontId="4"/>
  </si>
  <si>
    <t>About the Sample Project</t>
    <phoneticPr fontId="4"/>
  </si>
  <si>
    <r>
      <t>Table of Contents (</t>
    </r>
    <r>
      <rPr>
        <b/>
        <sz val="12"/>
        <color rgb="FFFF0000"/>
        <rFont val="游ゴシック"/>
        <family val="3"/>
        <charset val="128"/>
        <scheme val="minor"/>
      </rPr>
      <t>Power Distribution</t>
    </r>
    <r>
      <rPr>
        <b/>
        <sz val="12"/>
        <color theme="1"/>
        <rFont val="游ゴシック"/>
        <family val="3"/>
        <charset val="128"/>
        <scheme val="minor"/>
      </rPr>
      <t>)</t>
    </r>
    <phoneticPr fontId="4"/>
  </si>
  <si>
    <t>n/a</t>
    <phoneticPr fontId="4"/>
  </si>
  <si>
    <t>The project is designed: 1) to increase the supply of electricity to about 200,000 new customers in rapidly growing urban areas through new service connections, and 2) to improve the service of electricity supply to 100,000 existing customers through updating the existing distribution facilities and thus reducing service losses due to load shedding (cf. the Appendix of the CBA Handbook).</t>
    <phoneticPr fontId="4"/>
  </si>
  <si>
    <r>
      <rPr>
        <b/>
        <u/>
        <sz val="11"/>
        <color theme="10"/>
        <rFont val="游ゴシック"/>
        <family val="3"/>
        <charset val="128"/>
        <scheme val="minor"/>
      </rPr>
      <t>2a.FCosts</t>
    </r>
    <r>
      <rPr>
        <u/>
        <sz val="11"/>
        <color theme="10"/>
        <rFont val="游ゴシック"/>
        <family val="3"/>
        <charset val="128"/>
        <scheme val="minor"/>
      </rPr>
      <t xml:space="preserve"> --&gt; Identifying and quantifying financial costs (1)----DPP format</t>
    </r>
    <phoneticPr fontId="4"/>
  </si>
  <si>
    <r>
      <rPr>
        <b/>
        <u/>
        <sz val="11"/>
        <color theme="10"/>
        <rFont val="游ゴシック"/>
        <family val="3"/>
        <charset val="128"/>
        <scheme val="minor"/>
      </rPr>
      <t>2b.FCosts</t>
    </r>
    <r>
      <rPr>
        <u/>
        <sz val="11"/>
        <color theme="10"/>
        <rFont val="游ゴシック"/>
        <family val="3"/>
        <charset val="128"/>
        <scheme val="minor"/>
      </rPr>
      <t xml:space="preserve"> --&gt; Identifying and quantifying financial costs (2)----General format</t>
    </r>
    <phoneticPr fontId="4"/>
  </si>
  <si>
    <r>
      <rPr>
        <b/>
        <u/>
        <sz val="11"/>
        <color theme="10"/>
        <rFont val="游ゴシック"/>
        <family val="3"/>
        <charset val="128"/>
        <scheme val="minor"/>
      </rPr>
      <t>4a.FAnalysis</t>
    </r>
    <r>
      <rPr>
        <u/>
        <sz val="11"/>
        <color theme="10"/>
        <rFont val="游ゴシック"/>
        <family val="3"/>
        <charset val="128"/>
        <scheme val="minor"/>
      </rPr>
      <t xml:space="preserve"> --&gt; Constructing financial cash flow tables and estimating financial indicators (1)----Horizontal format</t>
    </r>
    <phoneticPr fontId="4"/>
  </si>
  <si>
    <r>
      <rPr>
        <b/>
        <u/>
        <sz val="11"/>
        <color theme="10"/>
        <rFont val="游ゴシック"/>
        <family val="3"/>
        <charset val="128"/>
        <scheme val="minor"/>
      </rPr>
      <t>4b.FAnalysis</t>
    </r>
    <r>
      <rPr>
        <u/>
        <sz val="11"/>
        <color theme="10"/>
        <rFont val="游ゴシック"/>
        <family val="3"/>
        <charset val="128"/>
        <scheme val="minor"/>
      </rPr>
      <t xml:space="preserve"> --&gt; Constructing financial cash flow tables and estimating financial indicators (2)----Vertical format</t>
    </r>
    <phoneticPr fontId="4"/>
  </si>
  <si>
    <r>
      <rPr>
        <b/>
        <u/>
        <sz val="11"/>
        <color theme="10"/>
        <rFont val="游ゴシック"/>
        <family val="3"/>
        <charset val="128"/>
        <scheme val="minor"/>
      </rPr>
      <t>7a.EAnalysis</t>
    </r>
    <r>
      <rPr>
        <u/>
        <sz val="11"/>
        <color theme="10"/>
        <rFont val="游ゴシック"/>
        <family val="3"/>
        <charset val="128"/>
        <scheme val="minor"/>
      </rPr>
      <t xml:space="preserve"> --&gt; Constructing economic cash flow tables and estimating economic indicators (1)----Horizontal format</t>
    </r>
    <phoneticPr fontId="4"/>
  </si>
  <si>
    <r>
      <rPr>
        <b/>
        <u/>
        <sz val="11"/>
        <color theme="10"/>
        <rFont val="游ゴシック"/>
        <family val="3"/>
        <charset val="128"/>
        <scheme val="minor"/>
      </rPr>
      <t>7b.EAnalysis</t>
    </r>
    <r>
      <rPr>
        <u/>
        <sz val="11"/>
        <color theme="10"/>
        <rFont val="游ゴシック"/>
        <family val="3"/>
        <charset val="128"/>
        <scheme val="minor"/>
      </rPr>
      <t xml:space="preserve"> --&gt; Constructing economic cash flow tables and estimating economic indicators (2)----Vertical format</t>
    </r>
    <phoneticPr fontId="4"/>
  </si>
  <si>
    <r>
      <t xml:space="preserve">    Price Contingency, Foreign currency</t>
    </r>
    <r>
      <rPr>
        <sz val="11"/>
        <color rgb="FF0070C0"/>
        <rFont val="游ゴシック"/>
        <family val="3"/>
        <charset val="128"/>
        <scheme val="minor"/>
      </rPr>
      <t xml:space="preserve"> (not used in this sample)</t>
    </r>
    <phoneticPr fontId="4"/>
  </si>
  <si>
    <r>
      <t xml:space="preserve">    Wage Conversion Factor for Unskilled Labor</t>
    </r>
    <r>
      <rPr>
        <sz val="11"/>
        <color rgb="FF0070C0"/>
        <rFont val="游ゴシック"/>
        <family val="3"/>
        <charset val="128"/>
        <scheme val="minor"/>
      </rPr>
      <t xml:space="preserve"> (not used in this sample)</t>
    </r>
    <phoneticPr fontId="4"/>
  </si>
  <si>
    <r>
      <t>Exchange Rate</t>
    </r>
    <r>
      <rPr>
        <sz val="11"/>
        <color rgb="FF0070C0"/>
        <rFont val="游ゴシック"/>
        <family val="3"/>
        <charset val="128"/>
        <scheme val="minor"/>
      </rPr>
      <t xml:space="preserve"> (not used in this sample)</t>
    </r>
    <phoneticPr fontId="4"/>
  </si>
  <si>
    <t>[default: 2.0%]</t>
    <phoneticPr fontId="4"/>
  </si>
  <si>
    <t>[default: 5.0%]</t>
    <phoneticPr fontId="4"/>
  </si>
  <si>
    <t>[default: 12.0%]</t>
    <phoneticPr fontId="4"/>
  </si>
  <si>
    <t>[default: 9.0%]</t>
    <phoneticPr fontId="4"/>
  </si>
  <si>
    <t>[default: 80.0%]</t>
    <phoneticPr fontId="4"/>
  </si>
  <si>
    <t>Taxes (Transfers)</t>
    <phoneticPr fontId="4"/>
  </si>
  <si>
    <r>
      <t xml:space="preserve">Subsidies, </t>
    </r>
    <r>
      <rPr>
        <u/>
        <sz val="11"/>
        <rFont val="游ゴシック"/>
        <family val="3"/>
        <charset val="128"/>
        <scheme val="minor"/>
      </rPr>
      <t>negative costs</t>
    </r>
    <r>
      <rPr>
        <sz val="11"/>
        <rFont val="游ゴシック"/>
        <family val="3"/>
        <charset val="128"/>
        <scheme val="minor"/>
      </rPr>
      <t xml:space="preserve"> (Transfers)</t>
    </r>
    <phoneticPr fontId="4"/>
  </si>
  <si>
    <r>
      <rPr>
        <b/>
        <sz val="11"/>
        <rFont val="游ゴシック"/>
        <family val="3"/>
        <charset val="128"/>
        <scheme val="minor"/>
      </rPr>
      <t>*</t>
    </r>
    <r>
      <rPr>
        <sz val="11"/>
        <rFont val="游ゴシック"/>
        <family val="3"/>
        <charset val="128"/>
        <scheme val="minor"/>
      </rPr>
      <t>There are two methods to enter data and calculate total initial investment costs. One way is to enter cost data directly into the 2b.FCosts sheet. The other way is to enter cost data into the 2a.FCosts sheet, which is based on the Detailed Estimated Cost form (Annexure V(a) of the DPP Manual).  Choose either. Do not use both simultaneously.</t>
    </r>
    <phoneticPr fontId="4"/>
  </si>
  <si>
    <t>Base Costs (w/o Contingencies)</t>
    <phoneticPr fontId="4"/>
  </si>
  <si>
    <t>Data either from above Table or Detailed Estimated Cost (2a.FCosts)*</t>
    <phoneticPr fontId="4"/>
  </si>
  <si>
    <t>PA</t>
    <phoneticPr fontId="4"/>
  </si>
  <si>
    <t>OF</t>
    <phoneticPr fontId="4"/>
  </si>
  <si>
    <t>FC</t>
    <phoneticPr fontId="4"/>
  </si>
  <si>
    <t>Total Initial Investment Costs (w/ Contingencies)</t>
    <phoneticPr fontId="4"/>
  </si>
  <si>
    <t>Total Initial Investment Costs (BC + Physical Contingency)</t>
  </si>
  <si>
    <r>
      <rPr>
        <b/>
        <sz val="11"/>
        <color theme="1"/>
        <rFont val="游ゴシック"/>
        <family val="3"/>
        <charset val="128"/>
        <scheme val="minor"/>
      </rPr>
      <t>*</t>
    </r>
    <r>
      <rPr>
        <sz val="11"/>
        <color theme="1"/>
        <rFont val="游ゴシック"/>
        <family val="2"/>
        <scheme val="minor"/>
      </rPr>
      <t>There are two methods to enter data and calculate total initial investment costs. One way is to enter cost data directly into this 2b.FCosts sheet. The other way is to enter cost data into the 2a.FCosts sheet, which is based on the Detailed Estimated Cost form (Annexure V(a) of the DPP Manual).  Choose either. Do not use both simultaneously.</t>
    </r>
    <phoneticPr fontId="4"/>
  </si>
  <si>
    <t>Total Initial Investment Costs (BC + Physical Contingency)</t>
    <phoneticPr fontId="4"/>
  </si>
  <si>
    <t xml:space="preserve"> *It is assumed that 10% of the initial investment costs for the ovrhead &amp; underground line construction will be salvaged.</t>
    <phoneticPr fontId="4"/>
  </si>
  <si>
    <r>
      <t xml:space="preserve">Total Initial Investment Costs (BC + Physical Contingency) </t>
    </r>
    <r>
      <rPr>
        <b/>
        <sz val="11"/>
        <color rgb="FFFF0000"/>
        <rFont val="游ゴシック"/>
        <family val="3"/>
        <charset val="128"/>
        <scheme val="minor"/>
      </rPr>
      <t>- Transfers</t>
    </r>
    <phoneticPr fontId="4"/>
  </si>
  <si>
    <t>Cost Data</t>
    <phoneticPr fontId="4"/>
  </si>
  <si>
    <t>LC</t>
    <phoneticPr fontId="4"/>
  </si>
  <si>
    <t xml:space="preserve">    Skilled Workers [=LC*SPF+FC*(Exchange Rate)]</t>
    <phoneticPr fontId="4"/>
  </si>
  <si>
    <t>Land Acquisition/Compensation Costs [=LC*SPF+FC*(Exchange Rate)]</t>
    <phoneticPr fontId="4"/>
  </si>
  <si>
    <t>Consultant Costs [=LC*SPF+FC*(Exchange Rate)]</t>
    <phoneticPr fontId="4"/>
  </si>
  <si>
    <t>General/Administrative Costs (Overhead Costs) [=LC*SPF+FC*(Exchange Rate)]</t>
    <phoneticPr fontId="4"/>
  </si>
  <si>
    <t>Physical Contingency [=LC*SPF+FC*(Exchange Rate)]</t>
    <phoneticPr fontId="4"/>
  </si>
  <si>
    <r>
      <t xml:space="preserve">Base Costs (w/o Contingencies) </t>
    </r>
    <r>
      <rPr>
        <b/>
        <sz val="11"/>
        <color rgb="FFFF0000"/>
        <rFont val="游ゴシック"/>
        <family val="3"/>
        <charset val="128"/>
        <scheme val="minor"/>
      </rPr>
      <t>- Transfers</t>
    </r>
    <phoneticPr fontId="4"/>
  </si>
  <si>
    <t>Materials &amp; Equipment Costs [=LC*SPF+FC*(Exchange Rate)]</t>
    <phoneticPr fontId="4"/>
  </si>
  <si>
    <r>
      <t xml:space="preserve">    Unskilled Workers [=LC*</t>
    </r>
    <r>
      <rPr>
        <u/>
        <sz val="11"/>
        <color theme="1"/>
        <rFont val="游ゴシック"/>
        <family val="3"/>
        <charset val="128"/>
        <scheme val="minor"/>
      </rPr>
      <t>SWRF</t>
    </r>
    <r>
      <rPr>
        <sz val="11"/>
        <color theme="1"/>
        <rFont val="游ゴシック"/>
        <family val="2"/>
        <scheme val="minor"/>
      </rPr>
      <t>+FC*(Exchange Rate)]</t>
    </r>
    <phoneticPr fontId="4"/>
  </si>
  <si>
    <t>Annual Initial Investment Breakdowns during Construction (%)</t>
    <phoneticPr fontId="4"/>
  </si>
  <si>
    <t>Annual Operating Cost Levels after Construction (cumulative %)</t>
    <phoneticPr fontId="4"/>
  </si>
  <si>
    <t>Annual Revenue Generation during Construction (cumulative %)</t>
    <phoneticPr fontId="4"/>
  </si>
  <si>
    <t>Annual Revenue Generation after Construction (cumulative %)</t>
    <phoneticPr fontId="4"/>
  </si>
  <si>
    <t>Annual Incremental Outputs during Construction (cumulative %)</t>
    <phoneticPr fontId="4"/>
  </si>
  <si>
    <t>Annual Incremental Outputs after Construction (cumulative %)</t>
    <phoneticPr fontId="4"/>
  </si>
  <si>
    <t>Annual Operating Costs after Construction (cumulative %)</t>
    <phoneticPr fontId="4"/>
  </si>
  <si>
    <t>Input Purchase (e.g., electricity purchase, wheeling charge)</t>
    <phoneticPr fontId="4"/>
  </si>
  <si>
    <r>
      <t>Total Annual Incremental Outputs</t>
    </r>
    <r>
      <rPr>
        <sz val="11"/>
        <color theme="1"/>
        <rFont val="游ゴシック"/>
        <family val="3"/>
        <charset val="128"/>
        <scheme val="minor"/>
      </rPr>
      <t xml:space="preserve"> [=0.5*a*(c-b)]</t>
    </r>
    <phoneticPr fontId="4"/>
  </si>
  <si>
    <t>Annual Incremental Outputs Attributable to Distribution</t>
    <phoneticPr fontId="4"/>
  </si>
  <si>
    <t>Input Purchase [=LC*SPF+FC*(Exchange Rate)]</t>
    <phoneticPr fontId="4"/>
  </si>
  <si>
    <t>Spares &amp; Maintenance [=LC*SPF+FC*(Exchange Rate)]</t>
    <phoneticPr fontId="4"/>
  </si>
  <si>
    <t>Insurance [=LC*SPF+FC*(Exchange Rate)]</t>
    <phoneticPr fontId="4"/>
  </si>
  <si>
    <r>
      <t xml:space="preserve">    Unskilled Workers [=LC*</t>
    </r>
    <r>
      <rPr>
        <u/>
        <sz val="11"/>
        <rFont val="游ゴシック"/>
        <family val="3"/>
        <charset val="128"/>
        <scheme val="minor"/>
      </rPr>
      <t>SWRF</t>
    </r>
    <r>
      <rPr>
        <sz val="11"/>
        <rFont val="游ゴシック"/>
        <family val="3"/>
        <charset val="128"/>
        <scheme val="minor"/>
      </rPr>
      <t>+FC*(Exchange Rate)]</t>
    </r>
    <phoneticPr fontId="4"/>
  </si>
  <si>
    <t>Percent of Indirect Benefits Attributable to the Project</t>
    <phoneticPr fontId="4"/>
  </si>
  <si>
    <r>
      <t>Total Annual Cost Savings (Reliability Benefits)</t>
    </r>
    <r>
      <rPr>
        <sz val="11"/>
        <color theme="1"/>
        <rFont val="游ゴシック"/>
        <family val="3"/>
        <charset val="128"/>
        <scheme val="minor"/>
      </rPr>
      <t xml:space="preserve"> [=(c-b)*d*e]</t>
    </r>
    <phoneticPr fontId="4"/>
  </si>
  <si>
    <t xml:space="preserve">    Shadow Price Factor (SPF) [=1/Conversion Factor for Traded Goods]</t>
    <phoneticPr fontId="4"/>
  </si>
  <si>
    <t xml:space="preserve">   Conversion Factor for Traded Goods</t>
    <phoneticPr fontId="4"/>
  </si>
  <si>
    <t>Annual Non-Incremental Outputs Attributable to Distribution</t>
  </si>
  <si>
    <t>Passcode: p1234</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</si>
</sst>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_(* #,##0.00_);_(* \(#,##0.00\);_(* &quot;-&quot;??_);_(@_)"/>
    <numFmt numFmtId="177" formatCode="0.0%"/>
    <numFmt numFmtId="178" formatCode="0.0"/>
    <numFmt numFmtId="179" formatCode="dd\ mmm\ yyyy_);\(###0\);&quot;-  &quot;;&quot; &quot;@&quot; &quot;"/>
    <numFmt numFmtId="180" formatCode="0.000"/>
    <numFmt numFmtId="181" formatCode="0.00_);[Red]\(0.00\)"/>
    <numFmt numFmtId="182" formatCode="0_);[Red]\(0\)"/>
    <numFmt numFmtId="183" formatCode="0.0_);[Red]\(0.0\)"/>
    <numFmt numFmtId="184" formatCode="0.000%"/>
    <numFmt numFmtId="185" formatCode="0.000000"/>
    <numFmt numFmtId="186" formatCode="#,##0.000_);[Red]\(#,##0.000\)"/>
  </numFmts>
  <fonts count="44" x14ac:knownFonts="1">
    <font>
      <sz val="11"/>
      <color theme="1"/>
      <name val="游ゴシック"/>
      <family val="2"/>
      <scheme val="minor"/>
    </font>
    <font>
      <sz val="11"/>
      <color theme="1"/>
      <name val="游ゴシック"/>
      <family val="2"/>
      <scheme val="minor"/>
    </font>
    <font>
      <sz val="11"/>
      <color rgb="FFFF0000"/>
      <name val="游ゴシック"/>
      <family val="2"/>
      <scheme val="minor"/>
    </font>
    <font>
      <sz val="10"/>
      <name val="Arial"/>
      <family val="2"/>
    </font>
    <font>
      <sz val="6"/>
      <name val="游ゴシック"/>
      <family val="3"/>
      <charset val="128"/>
      <scheme val="minor"/>
    </font>
    <font>
      <b/>
      <sz val="11"/>
      <color theme="1"/>
      <name val="游ゴシック"/>
      <family val="3"/>
      <charset val="128"/>
      <scheme val="minor"/>
    </font>
    <font>
      <b/>
      <sz val="12"/>
      <color theme="1"/>
      <name val="游ゴシック"/>
      <family val="3"/>
      <charset val="128"/>
      <scheme val="minor"/>
    </font>
    <font>
      <sz val="11"/>
      <color theme="1"/>
      <name val="游ゴシック"/>
      <family val="3"/>
      <charset val="128"/>
      <scheme val="minor"/>
    </font>
    <font>
      <sz val="11"/>
      <color rgb="FF002060"/>
      <name val="游ゴシック"/>
      <family val="3"/>
      <charset val="128"/>
      <scheme val="minor"/>
    </font>
    <font>
      <sz val="11"/>
      <name val="游ゴシック"/>
      <family val="3"/>
      <charset val="128"/>
      <scheme val="minor"/>
    </font>
    <font>
      <b/>
      <sz val="12"/>
      <name val="游ゴシック"/>
      <family val="3"/>
      <charset val="128"/>
      <scheme val="minor"/>
    </font>
    <font>
      <b/>
      <sz val="11"/>
      <name val="游ゴシック"/>
      <family val="3"/>
      <charset val="128"/>
      <scheme val="minor"/>
    </font>
    <font>
      <sz val="18"/>
      <name val="游ゴシック"/>
      <family val="3"/>
      <charset val="128"/>
      <scheme val="minor"/>
    </font>
    <font>
      <b/>
      <u/>
      <sz val="11"/>
      <color theme="1"/>
      <name val="游ゴシック"/>
      <family val="3"/>
      <charset val="128"/>
      <scheme val="minor"/>
    </font>
    <font>
      <sz val="12"/>
      <name val="游ゴシック"/>
      <family val="3"/>
      <charset val="128"/>
      <scheme val="minor"/>
    </font>
    <font>
      <i/>
      <sz val="11"/>
      <name val="游ゴシック"/>
      <family val="3"/>
      <charset val="128"/>
      <scheme val="minor"/>
    </font>
    <font>
      <sz val="11"/>
      <color rgb="FFFF0000"/>
      <name val="游ゴシック"/>
      <family val="3"/>
      <charset val="128"/>
      <scheme val="minor"/>
    </font>
    <font>
      <b/>
      <sz val="11"/>
      <color rgb="FFFF0000"/>
      <name val="游ゴシック"/>
      <family val="3"/>
      <charset val="128"/>
      <scheme val="minor"/>
    </font>
    <font>
      <sz val="9"/>
      <color theme="1"/>
      <name val="游ゴシック"/>
      <family val="3"/>
      <charset val="128"/>
      <scheme val="minor"/>
    </font>
    <font>
      <sz val="9"/>
      <color rgb="FFFF0000"/>
      <name val="游ゴシック"/>
      <family val="3"/>
      <charset val="128"/>
      <scheme val="minor"/>
    </font>
    <font>
      <sz val="9"/>
      <name val="游ゴシック"/>
      <family val="3"/>
      <charset val="128"/>
      <scheme val="minor"/>
    </font>
    <font>
      <sz val="9"/>
      <color theme="1"/>
      <name val="游ゴシック"/>
      <family val="2"/>
      <scheme val="minor"/>
    </font>
    <font>
      <b/>
      <i/>
      <u/>
      <sz val="11"/>
      <color theme="4" tint="-0.249977111117893"/>
      <name val="游ゴシック"/>
      <family val="3"/>
      <charset val="128"/>
      <scheme val="minor"/>
    </font>
    <font>
      <b/>
      <i/>
      <u/>
      <sz val="11"/>
      <color theme="5" tint="-0.249977111117893"/>
      <name val="游ゴシック"/>
      <family val="3"/>
      <charset val="128"/>
      <scheme val="minor"/>
    </font>
    <font>
      <strike/>
      <sz val="11"/>
      <color theme="1"/>
      <name val="游ゴシック"/>
      <family val="2"/>
      <scheme val="minor"/>
    </font>
    <font>
      <strike/>
      <sz val="11"/>
      <color theme="1"/>
      <name val="游ゴシック"/>
      <family val="3"/>
      <charset val="128"/>
      <scheme val="minor"/>
    </font>
    <font>
      <strike/>
      <sz val="9"/>
      <color theme="1"/>
      <name val="游ゴシック"/>
      <family val="3"/>
      <charset val="128"/>
      <scheme val="minor"/>
    </font>
    <font>
      <b/>
      <strike/>
      <sz val="11"/>
      <name val="游ゴシック"/>
      <family val="3"/>
      <charset val="128"/>
      <scheme val="minor"/>
    </font>
    <font>
      <strike/>
      <sz val="11"/>
      <name val="游ゴシック"/>
      <family val="3"/>
      <charset val="128"/>
      <scheme val="minor"/>
    </font>
    <font>
      <sz val="9"/>
      <color rgb="FFFF0000"/>
      <name val="游ゴシック"/>
      <family val="2"/>
      <scheme val="minor"/>
    </font>
    <font>
      <sz val="9"/>
      <color rgb="FF0070C0"/>
      <name val="游ゴシック"/>
      <family val="3"/>
      <charset val="128"/>
      <scheme val="minor"/>
    </font>
    <font>
      <i/>
      <u/>
      <sz val="11"/>
      <name val="游ゴシック"/>
      <family val="3"/>
      <charset val="128"/>
      <scheme val="minor"/>
    </font>
    <font>
      <sz val="18"/>
      <color theme="1"/>
      <name val="游ゴシック"/>
      <family val="2"/>
      <scheme val="minor"/>
    </font>
    <font>
      <u/>
      <sz val="11"/>
      <color theme="10"/>
      <name val="游ゴシック"/>
      <family val="2"/>
      <scheme val="minor"/>
    </font>
    <font>
      <u/>
      <sz val="11"/>
      <color theme="10"/>
      <name val="游ゴシック"/>
      <family val="3"/>
      <charset val="128"/>
      <scheme val="minor"/>
    </font>
    <font>
      <b/>
      <u/>
      <sz val="11"/>
      <color theme="10"/>
      <name val="游ゴシック"/>
      <family val="3"/>
      <charset val="128"/>
      <scheme val="minor"/>
    </font>
    <font>
      <sz val="10"/>
      <color theme="1"/>
      <name val="游ゴシック"/>
      <family val="2"/>
      <scheme val="minor"/>
    </font>
    <font>
      <b/>
      <sz val="12"/>
      <color rgb="FFFF0000"/>
      <name val="游ゴシック"/>
      <family val="3"/>
      <charset val="128"/>
      <scheme val="minor"/>
    </font>
    <font>
      <sz val="11"/>
      <color rgb="FF0070C0"/>
      <name val="游ゴシック"/>
      <family val="3"/>
      <charset val="128"/>
      <scheme val="minor"/>
    </font>
    <font>
      <b/>
      <i/>
      <u/>
      <sz val="11"/>
      <color rgb="FFFF0000"/>
      <name val="游ゴシック"/>
      <family val="3"/>
      <charset val="128"/>
      <scheme val="minor"/>
    </font>
    <font>
      <u/>
      <sz val="11"/>
      <name val="游ゴシック"/>
      <family val="3"/>
      <charset val="128"/>
      <scheme val="minor"/>
    </font>
    <font>
      <b/>
      <i/>
      <sz val="11"/>
      <color theme="1"/>
      <name val="游ゴシック"/>
      <family val="3"/>
      <charset val="128"/>
      <scheme val="minor"/>
    </font>
    <font>
      <b/>
      <strike/>
      <sz val="11"/>
      <color theme="1"/>
      <name val="游ゴシック"/>
      <family val="3"/>
      <charset val="128"/>
      <scheme val="minor"/>
    </font>
    <font>
      <u/>
      <sz val="11"/>
      <color theme="1"/>
      <name val="游ゴシック"/>
      <family val="3"/>
      <charset val="128"/>
      <scheme val="minor"/>
    </font>
  </fonts>
  <fills count="12">
    <fill>
      <patternFill patternType="none"/>
    </fill>
    <fill>
      <patternFill patternType="gray125"/>
    </fill>
    <fill>
      <patternFill patternType="solid">
        <fgColor theme="5" tint="0.79998168889431442"/>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rgb="FF92D050"/>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s>
  <borders count="38">
    <border>
      <left/>
      <right/>
      <top/>
      <bottom/>
      <diagonal/>
    </border>
    <border>
      <left/>
      <right/>
      <top style="medium">
        <color indexed="64"/>
      </top>
      <bottom/>
      <diagonal/>
    </border>
    <border>
      <left/>
      <right/>
      <top/>
      <bottom style="medium">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style="thin">
        <color indexed="64"/>
      </bottom>
      <diagonal/>
    </border>
  </borders>
  <cellStyleXfs count="9">
    <xf numFmtId="0" fontId="0" fillId="0" borderId="0"/>
    <xf numFmtId="9" fontId="1" fillId="0" borderId="0" applyFont="0" applyFill="0" applyBorder="0" applyAlignment="0" applyProtection="0"/>
    <xf numFmtId="179" fontId="3" fillId="0" borderId="0" applyFont="0" applyFill="0" applyBorder="0" applyProtection="0">
      <alignment vertical="top"/>
    </xf>
    <xf numFmtId="0" fontId="3" fillId="0" borderId="0"/>
    <xf numFmtId="38" fontId="1" fillId="0" borderId="0" applyFont="0" applyFill="0" applyBorder="0" applyAlignment="0" applyProtection="0">
      <alignment vertical="center"/>
    </xf>
    <xf numFmtId="0" fontId="3" fillId="0" borderId="0"/>
    <xf numFmtId="176" fontId="3" fillId="0" borderId="0" applyFont="0" applyFill="0" applyBorder="0" applyAlignment="0" applyProtection="0"/>
    <xf numFmtId="40" fontId="1" fillId="0" borderId="0" applyFont="0" applyFill="0" applyBorder="0" applyAlignment="0" applyProtection="0">
      <alignment vertical="center"/>
    </xf>
    <xf numFmtId="0" fontId="33" fillId="0" borderId="0" applyNumberFormat="0" applyFill="0" applyBorder="0" applyAlignment="0" applyProtection="0"/>
  </cellStyleXfs>
  <cellXfs count="410">
    <xf numFmtId="0" fontId="0" fillId="0" borderId="0" xfId="0"/>
    <xf numFmtId="0" fontId="0" fillId="0" borderId="4" xfId="0" applyBorder="1"/>
    <xf numFmtId="180" fontId="0" fillId="0" borderId="0" xfId="0" applyNumberFormat="1"/>
    <xf numFmtId="0" fontId="0" fillId="3" borderId="0" xfId="0" applyFill="1"/>
    <xf numFmtId="0" fontId="0" fillId="4" borderId="0" xfId="0" applyFill="1"/>
    <xf numFmtId="0" fontId="6" fillId="3" borderId="0" xfId="0" applyFont="1" applyFill="1"/>
    <xf numFmtId="0" fontId="6" fillId="0" borderId="0" xfId="0" applyFont="1"/>
    <xf numFmtId="0" fontId="0" fillId="4" borderId="3" xfId="0" applyFill="1" applyBorder="1" applyAlignment="1">
      <alignment horizontal="center" vertical="center"/>
    </xf>
    <xf numFmtId="0" fontId="0" fillId="4" borderId="3" xfId="0" applyFill="1" applyBorder="1" applyAlignment="1">
      <alignment horizontal="center" vertical="center" wrapText="1"/>
    </xf>
    <xf numFmtId="0" fontId="0" fillId="4" borderId="3" xfId="0" applyFill="1" applyBorder="1"/>
    <xf numFmtId="0" fontId="5" fillId="0" borderId="0" xfId="0" applyFont="1"/>
    <xf numFmtId="0" fontId="0" fillId="4" borderId="5" xfId="0" applyFill="1" applyBorder="1" applyAlignment="1">
      <alignment horizontal="center"/>
    </xf>
    <xf numFmtId="0" fontId="0" fillId="4" borderId="4" xfId="0" applyFill="1" applyBorder="1" applyAlignment="1">
      <alignment horizontal="center" vertical="center"/>
    </xf>
    <xf numFmtId="0" fontId="0" fillId="4" borderId="4" xfId="0" applyFill="1" applyBorder="1" applyAlignment="1">
      <alignment horizontal="center" wrapText="1"/>
    </xf>
    <xf numFmtId="0" fontId="0" fillId="4" borderId="4" xfId="1" applyNumberFormat="1" applyFont="1" applyFill="1" applyBorder="1" applyAlignment="1">
      <alignment horizontal="center" vertical="center"/>
    </xf>
    <xf numFmtId="0" fontId="5" fillId="4" borderId="3" xfId="0" applyFont="1" applyFill="1" applyBorder="1" applyAlignment="1">
      <alignment horizontal="center"/>
    </xf>
    <xf numFmtId="0" fontId="0" fillId="4" borderId="0" xfId="0" applyFill="1" applyAlignment="1">
      <alignment horizontal="left" vertical="center"/>
    </xf>
    <xf numFmtId="0" fontId="0" fillId="4" borderId="4" xfId="0" applyFill="1" applyBorder="1"/>
    <xf numFmtId="0" fontId="2" fillId="0" borderId="0" xfId="0" applyFont="1"/>
    <xf numFmtId="0" fontId="5" fillId="4" borderId="4" xfId="0" applyFont="1" applyFill="1" applyBorder="1"/>
    <xf numFmtId="0" fontId="7" fillId="4" borderId="0" xfId="0" applyFont="1" applyFill="1"/>
    <xf numFmtId="0" fontId="5" fillId="4" borderId="0" xfId="0" applyFont="1" applyFill="1"/>
    <xf numFmtId="0" fontId="5" fillId="4" borderId="5" xfId="0" applyFont="1" applyFill="1" applyBorder="1"/>
    <xf numFmtId="0" fontId="5" fillId="0" borderId="0" xfId="0" applyFont="1" applyAlignment="1">
      <alignment horizontal="center"/>
    </xf>
    <xf numFmtId="0" fontId="8" fillId="0" borderId="0" xfId="0" applyFont="1"/>
    <xf numFmtId="0" fontId="9" fillId="0" borderId="0" xfId="0" applyFont="1"/>
    <xf numFmtId="0" fontId="10" fillId="3" borderId="0" xfId="0" applyFont="1" applyFill="1"/>
    <xf numFmtId="0" fontId="9" fillId="3" borderId="0" xfId="0" applyFont="1" applyFill="1"/>
    <xf numFmtId="0" fontId="10" fillId="0" borderId="0" xfId="0" applyFont="1"/>
    <xf numFmtId="0" fontId="9" fillId="4" borderId="0" xfId="0" applyFont="1" applyFill="1"/>
    <xf numFmtId="9" fontId="9" fillId="0" borderId="0" xfId="1" applyFont="1" applyFill="1" applyBorder="1"/>
    <xf numFmtId="0" fontId="11" fillId="0" borderId="0" xfId="0" applyFont="1"/>
    <xf numFmtId="0" fontId="9" fillId="4" borderId="3" xfId="0" applyFont="1" applyFill="1" applyBorder="1" applyAlignment="1">
      <alignment horizontal="center" vertical="center"/>
    </xf>
    <xf numFmtId="0" fontId="9" fillId="4" borderId="3" xfId="0" applyFont="1" applyFill="1" applyBorder="1" applyAlignment="1">
      <alignment horizontal="center" wrapText="1"/>
    </xf>
    <xf numFmtId="0" fontId="9" fillId="4" borderId="3" xfId="0" applyFont="1" applyFill="1" applyBorder="1" applyAlignment="1">
      <alignment horizontal="center" vertical="center" wrapText="1"/>
    </xf>
    <xf numFmtId="0" fontId="12" fillId="0" borderId="0" xfId="0" applyFont="1" applyAlignment="1">
      <alignment horizontal="center" vertical="center"/>
    </xf>
    <xf numFmtId="0" fontId="11" fillId="4" borderId="3" xfId="0" applyFont="1" applyFill="1" applyBorder="1" applyAlignment="1">
      <alignment horizontal="center"/>
    </xf>
    <xf numFmtId="0" fontId="9" fillId="4" borderId="0" xfId="0" applyFont="1" applyFill="1" applyAlignment="1">
      <alignment horizontal="left" vertical="center"/>
    </xf>
    <xf numFmtId="0" fontId="9" fillId="0" borderId="4" xfId="0" applyFont="1" applyBorder="1"/>
    <xf numFmtId="38" fontId="0" fillId="0" borderId="0" xfId="0" applyNumberFormat="1"/>
    <xf numFmtId="38" fontId="5" fillId="0" borderId="4" xfId="0" applyNumberFormat="1" applyFont="1" applyBorder="1"/>
    <xf numFmtId="38" fontId="0" fillId="0" borderId="4" xfId="0" applyNumberFormat="1" applyBorder="1"/>
    <xf numFmtId="38" fontId="5" fillId="0" borderId="0" xfId="0" applyNumberFormat="1" applyFont="1"/>
    <xf numFmtId="38" fontId="5" fillId="0" borderId="5" xfId="0" applyNumberFormat="1" applyFont="1" applyBorder="1"/>
    <xf numFmtId="38" fontId="0" fillId="0" borderId="5" xfId="0" applyNumberFormat="1" applyBorder="1"/>
    <xf numFmtId="38" fontId="9" fillId="0" borderId="0" xfId="4" applyFont="1" applyFill="1" applyBorder="1" applyAlignment="1"/>
    <xf numFmtId="38" fontId="9" fillId="0" borderId="3" xfId="4" applyFont="1" applyFill="1" applyBorder="1" applyAlignment="1"/>
    <xf numFmtId="38" fontId="9" fillId="0" borderId="4" xfId="4" applyFont="1" applyFill="1" applyBorder="1" applyAlignment="1"/>
    <xf numFmtId="38" fontId="9" fillId="0" borderId="5" xfId="4" applyFont="1" applyFill="1" applyBorder="1" applyAlignment="1"/>
    <xf numFmtId="38" fontId="9" fillId="0" borderId="0" xfId="4" applyFont="1" applyAlignment="1"/>
    <xf numFmtId="38" fontId="9" fillId="0" borderId="3" xfId="4" applyFont="1" applyBorder="1" applyAlignment="1"/>
    <xf numFmtId="38" fontId="0" fillId="0" borderId="5" xfId="4" applyFont="1" applyBorder="1" applyAlignment="1"/>
    <xf numFmtId="38" fontId="0" fillId="0" borderId="0" xfId="4" applyFont="1" applyAlignment="1"/>
    <xf numFmtId="38" fontId="0" fillId="0" borderId="0" xfId="4" applyFont="1" applyFill="1" applyAlignment="1"/>
    <xf numFmtId="38" fontId="0" fillId="0" borderId="3" xfId="4" applyFont="1" applyBorder="1" applyAlignment="1"/>
    <xf numFmtId="38" fontId="0" fillId="0" borderId="0" xfId="4" applyFont="1" applyFill="1" applyBorder="1" applyAlignment="1"/>
    <xf numFmtId="38" fontId="0" fillId="0" borderId="3" xfId="4" applyFont="1" applyFill="1" applyBorder="1" applyAlignment="1"/>
    <xf numFmtId="38" fontId="0" fillId="0" borderId="0" xfId="4" applyFont="1" applyBorder="1" applyAlignment="1"/>
    <xf numFmtId="38" fontId="5" fillId="0" borderId="0" xfId="4" applyFont="1" applyBorder="1" applyAlignment="1"/>
    <xf numFmtId="38" fontId="5" fillId="0" borderId="5" xfId="4" applyFont="1" applyBorder="1" applyAlignment="1"/>
    <xf numFmtId="38" fontId="5" fillId="0" borderId="4" xfId="4" applyFont="1" applyBorder="1" applyAlignment="1"/>
    <xf numFmtId="38" fontId="0" fillId="0" borderId="4" xfId="4" applyFont="1" applyBorder="1" applyAlignment="1"/>
    <xf numFmtId="38" fontId="0" fillId="0" borderId="4" xfId="4" applyFont="1" applyFill="1" applyBorder="1" applyAlignment="1"/>
    <xf numFmtId="38" fontId="5" fillId="0" borderId="3" xfId="4" applyFont="1" applyBorder="1" applyAlignment="1"/>
    <xf numFmtId="0" fontId="5" fillId="4" borderId="5" xfId="0" applyFont="1" applyFill="1" applyBorder="1" applyAlignment="1">
      <alignment horizontal="center"/>
    </xf>
    <xf numFmtId="0" fontId="0" fillId="4" borderId="3" xfId="1" applyNumberFormat="1" applyFont="1" applyFill="1" applyBorder="1" applyAlignment="1">
      <alignment horizontal="center" vertical="center"/>
    </xf>
    <xf numFmtId="38" fontId="0" fillId="0" borderId="5" xfId="4" applyFont="1" applyFill="1" applyBorder="1" applyAlignment="1"/>
    <xf numFmtId="9" fontId="0" fillId="0" borderId="0" xfId="1" applyFont="1" applyFill="1" applyBorder="1"/>
    <xf numFmtId="38" fontId="7" fillId="0" borderId="5" xfId="4" applyFont="1" applyBorder="1" applyAlignment="1"/>
    <xf numFmtId="0" fontId="0" fillId="0" borderId="0" xfId="0" applyAlignment="1">
      <alignment horizontal="center" vertical="center"/>
    </xf>
    <xf numFmtId="38" fontId="5" fillId="0" borderId="0" xfId="4" applyFont="1" applyFill="1" applyBorder="1" applyAlignment="1"/>
    <xf numFmtId="38" fontId="11" fillId="0" borderId="3" xfId="4" applyFont="1" applyFill="1" applyBorder="1" applyAlignment="1"/>
    <xf numFmtId="0" fontId="11" fillId="0" borderId="0" xfId="0" applyFont="1" applyAlignment="1">
      <alignment horizontal="center"/>
    </xf>
    <xf numFmtId="9" fontId="0" fillId="0" borderId="4" xfId="1" applyFont="1" applyBorder="1"/>
    <xf numFmtId="9" fontId="0" fillId="0" borderId="4" xfId="1" applyFont="1" applyFill="1" applyBorder="1"/>
    <xf numFmtId="38" fontId="0" fillId="0" borderId="0" xfId="4" quotePrefix="1" applyFont="1" applyBorder="1" applyAlignment="1">
      <alignment horizontal="center"/>
    </xf>
    <xf numFmtId="2" fontId="11" fillId="0" borderId="0" xfId="1" applyNumberFormat="1" applyFont="1" applyFill="1" applyBorder="1"/>
    <xf numFmtId="9" fontId="0" fillId="0" borderId="2" xfId="1" applyFont="1" applyFill="1" applyBorder="1"/>
    <xf numFmtId="177" fontId="5" fillId="0" borderId="0" xfId="1" applyNumberFormat="1" applyFont="1" applyBorder="1" applyAlignment="1"/>
    <xf numFmtId="0" fontId="7" fillId="0" borderId="0" xfId="0" applyFont="1"/>
    <xf numFmtId="177" fontId="0" fillId="0" borderId="0" xfId="1" applyNumberFormat="1" applyFont="1"/>
    <xf numFmtId="0" fontId="0" fillId="4" borderId="0" xfId="0" applyFill="1" applyAlignment="1">
      <alignment horizontal="center"/>
    </xf>
    <xf numFmtId="38" fontId="7" fillId="0" borderId="0" xfId="4" applyFont="1" applyBorder="1" applyAlignment="1"/>
    <xf numFmtId="0" fontId="0" fillId="6" borderId="4" xfId="0" applyFill="1" applyBorder="1" applyAlignment="1">
      <alignment horizontal="center" vertical="center"/>
    </xf>
    <xf numFmtId="0" fontId="0" fillId="6" borderId="4" xfId="1" applyNumberFormat="1" applyFont="1" applyFill="1" applyBorder="1" applyAlignment="1">
      <alignment horizontal="center" vertical="center"/>
    </xf>
    <xf numFmtId="0" fontId="0" fillId="6" borderId="5" xfId="0" applyFill="1" applyBorder="1" applyAlignment="1">
      <alignment horizontal="center"/>
    </xf>
    <xf numFmtId="0" fontId="0" fillId="6" borderId="3" xfId="0" applyFill="1" applyBorder="1" applyAlignment="1">
      <alignment horizontal="center" vertical="center"/>
    </xf>
    <xf numFmtId="0" fontId="0" fillId="6" borderId="3" xfId="1" applyNumberFormat="1" applyFont="1" applyFill="1" applyBorder="1" applyAlignment="1">
      <alignment horizontal="center" vertical="center"/>
    </xf>
    <xf numFmtId="40" fontId="0" fillId="0" borderId="0" xfId="0" applyNumberFormat="1"/>
    <xf numFmtId="38" fontId="9" fillId="0" borderId="0" xfId="0" applyNumberFormat="1" applyFont="1" applyAlignment="1">
      <alignment horizontal="right" wrapText="1"/>
    </xf>
    <xf numFmtId="0" fontId="14" fillId="0" borderId="0" xfId="5" applyFont="1"/>
    <xf numFmtId="0" fontId="14" fillId="3" borderId="0" xfId="5" applyFont="1" applyFill="1"/>
    <xf numFmtId="0" fontId="10" fillId="3" borderId="0" xfId="5" applyFont="1" applyFill="1" applyAlignment="1">
      <alignment horizontal="center"/>
    </xf>
    <xf numFmtId="0" fontId="9" fillId="0" borderId="0" xfId="5" applyFont="1"/>
    <xf numFmtId="0" fontId="9" fillId="0" borderId="10" xfId="5" applyFont="1" applyBorder="1"/>
    <xf numFmtId="0" fontId="9" fillId="0" borderId="3" xfId="5" applyFont="1" applyBorder="1"/>
    <xf numFmtId="0" fontId="9" fillId="0" borderId="11" xfId="5" applyFont="1" applyBorder="1"/>
    <xf numFmtId="0" fontId="9" fillId="0" borderId="17" xfId="5" applyFont="1" applyBorder="1" applyAlignment="1">
      <alignment horizontal="center" vertical="center" wrapText="1"/>
    </xf>
    <xf numFmtId="0" fontId="9" fillId="0" borderId="17" xfId="5" applyFont="1" applyBorder="1" applyAlignment="1">
      <alignment horizontal="left" vertical="center" wrapText="1"/>
    </xf>
    <xf numFmtId="0" fontId="9" fillId="0" borderId="17" xfId="5" applyFont="1" applyBorder="1" applyAlignment="1">
      <alignment horizontal="center"/>
    </xf>
    <xf numFmtId="2" fontId="9" fillId="0" borderId="0" xfId="5" applyNumberFormat="1" applyFont="1"/>
    <xf numFmtId="176" fontId="9" fillId="0" borderId="0" xfId="6" applyFont="1"/>
    <xf numFmtId="0" fontId="16" fillId="0" borderId="17" xfId="5" applyFont="1" applyBorder="1" applyAlignment="1">
      <alignment horizontal="center"/>
    </xf>
    <xf numFmtId="10" fontId="16" fillId="0" borderId="17" xfId="5" applyNumberFormat="1" applyFont="1" applyBorder="1" applyAlignment="1">
      <alignment horizontal="center"/>
    </xf>
    <xf numFmtId="0" fontId="9" fillId="0" borderId="17" xfId="5" applyFont="1" applyBorder="1"/>
    <xf numFmtId="0" fontId="9" fillId="4" borderId="17" xfId="5" applyFont="1" applyFill="1" applyBorder="1" applyAlignment="1">
      <alignment horizontal="center" vertical="top" wrapText="1"/>
    </xf>
    <xf numFmtId="0" fontId="9" fillId="4" borderId="17" xfId="5" applyFont="1" applyFill="1" applyBorder="1" applyAlignment="1">
      <alignment horizontal="center" wrapText="1"/>
    </xf>
    <xf numFmtId="0" fontId="15" fillId="4" borderId="17" xfId="5" quotePrefix="1" applyFont="1" applyFill="1" applyBorder="1" applyAlignment="1">
      <alignment horizontal="center" vertical="center" wrapText="1"/>
    </xf>
    <xf numFmtId="0" fontId="15" fillId="4" borderId="17" xfId="5" quotePrefix="1" applyFont="1" applyFill="1" applyBorder="1" applyAlignment="1">
      <alignment horizontal="center" vertical="center"/>
    </xf>
    <xf numFmtId="0" fontId="6" fillId="0" borderId="0" xfId="0" applyFont="1" applyAlignment="1">
      <alignment horizontal="right"/>
    </xf>
    <xf numFmtId="38" fontId="10" fillId="5" borderId="0" xfId="4" applyFont="1" applyFill="1" applyAlignment="1"/>
    <xf numFmtId="177" fontId="6" fillId="5" borderId="0" xfId="0" applyNumberFormat="1" applyFont="1" applyFill="1"/>
    <xf numFmtId="181" fontId="6" fillId="5" borderId="0" xfId="0" applyNumberFormat="1" applyFont="1" applyFill="1"/>
    <xf numFmtId="0" fontId="7" fillId="4" borderId="4" xfId="0" applyFont="1" applyFill="1" applyBorder="1" applyAlignment="1">
      <alignment horizontal="center" vertical="center"/>
    </xf>
    <xf numFmtId="0" fontId="7" fillId="4" borderId="4" xfId="0" applyFont="1" applyFill="1" applyBorder="1"/>
    <xf numFmtId="0" fontId="7" fillId="4" borderId="5" xfId="0" applyFont="1" applyFill="1" applyBorder="1"/>
    <xf numFmtId="0" fontId="7" fillId="4" borderId="4" xfId="0" applyFont="1" applyFill="1" applyBorder="1" applyAlignment="1">
      <alignment horizontal="center" vertical="center" wrapText="1"/>
    </xf>
    <xf numFmtId="40" fontId="5" fillId="0" borderId="0" xfId="4" applyNumberFormat="1" applyFont="1" applyBorder="1" applyAlignment="1"/>
    <xf numFmtId="40" fontId="5" fillId="0" borderId="0" xfId="0" applyNumberFormat="1" applyFont="1"/>
    <xf numFmtId="0" fontId="7" fillId="0" borderId="0" xfId="0" applyFont="1" applyAlignment="1">
      <alignment horizontal="center" vertical="center" wrapText="1"/>
    </xf>
    <xf numFmtId="177" fontId="5" fillId="0" borderId="5" xfId="1" applyNumberFormat="1" applyFont="1" applyBorder="1"/>
    <xf numFmtId="177" fontId="0" fillId="0" borderId="5" xfId="1" applyNumberFormat="1" applyFont="1" applyBorder="1"/>
    <xf numFmtId="0" fontId="14" fillId="0" borderId="0" xfId="5" applyFont="1" applyAlignment="1">
      <alignment horizontal="center"/>
    </xf>
    <xf numFmtId="0" fontId="14" fillId="0" borderId="0" xfId="5" quotePrefix="1" applyFont="1" applyAlignment="1">
      <alignment horizontal="right"/>
    </xf>
    <xf numFmtId="0" fontId="9" fillId="0" borderId="17" xfId="5" applyFont="1" applyBorder="1" applyAlignment="1">
      <alignment vertical="center" wrapText="1"/>
    </xf>
    <xf numFmtId="9" fontId="9" fillId="0" borderId="17" xfId="1" applyFont="1" applyBorder="1" applyAlignment="1">
      <alignment vertical="top"/>
    </xf>
    <xf numFmtId="38" fontId="17" fillId="0" borderId="3" xfId="4" applyFont="1" applyBorder="1" applyAlignment="1"/>
    <xf numFmtId="38" fontId="17" fillId="0" borderId="5" xfId="4" applyFont="1" applyBorder="1" applyAlignment="1"/>
    <xf numFmtId="38" fontId="7" fillId="0" borderId="0" xfId="4" applyFont="1" applyFill="1" applyBorder="1" applyAlignment="1"/>
    <xf numFmtId="178" fontId="0" fillId="0" borderId="0" xfId="0" applyNumberFormat="1"/>
    <xf numFmtId="183" fontId="0" fillId="0" borderId="0" xfId="0" applyNumberFormat="1"/>
    <xf numFmtId="0" fontId="18" fillId="0" borderId="0" xfId="0" applyFont="1"/>
    <xf numFmtId="0" fontId="18" fillId="3" borderId="0" xfId="0" applyFont="1" applyFill="1"/>
    <xf numFmtId="0" fontId="18" fillId="4" borderId="0" xfId="0" applyFont="1" applyFill="1" applyAlignment="1">
      <alignment horizontal="center"/>
    </xf>
    <xf numFmtId="0" fontId="18" fillId="0" borderId="0" xfId="0" applyFont="1" applyAlignment="1">
      <alignment horizontal="center"/>
    </xf>
    <xf numFmtId="0" fontId="18" fillId="4" borderId="0" xfId="0" quotePrefix="1" applyFont="1" applyFill="1" applyAlignment="1">
      <alignment horizontal="center"/>
    </xf>
    <xf numFmtId="0" fontId="20" fillId="4" borderId="0" xfId="0" quotePrefix="1" applyFont="1" applyFill="1" applyAlignment="1">
      <alignment horizontal="center"/>
    </xf>
    <xf numFmtId="0" fontId="20" fillId="3" borderId="0" xfId="0" applyFont="1" applyFill="1" applyAlignment="1">
      <alignment horizontal="center"/>
    </xf>
    <xf numFmtId="0" fontId="18" fillId="4" borderId="0" xfId="0" quotePrefix="1" applyFont="1" applyFill="1" applyAlignment="1">
      <alignment horizontal="center" vertical="center"/>
    </xf>
    <xf numFmtId="0" fontId="20" fillId="4" borderId="0" xfId="0" quotePrefix="1" applyFont="1" applyFill="1" applyAlignment="1">
      <alignment horizontal="center" vertical="center"/>
    </xf>
    <xf numFmtId="0" fontId="21" fillId="0" borderId="0" xfId="0" quotePrefix="1" applyFont="1"/>
    <xf numFmtId="0" fontId="0" fillId="0" borderId="0" xfId="0" applyAlignment="1">
      <alignment horizontal="center"/>
    </xf>
    <xf numFmtId="9" fontId="0" fillId="0" borderId="0" xfId="0" applyNumberFormat="1"/>
    <xf numFmtId="0" fontId="18" fillId="0" borderId="4" xfId="0" applyFont="1" applyBorder="1" applyAlignment="1">
      <alignment horizontal="center"/>
    </xf>
    <xf numFmtId="177" fontId="0" fillId="0" borderId="4" xfId="1" applyNumberFormat="1" applyFont="1" applyBorder="1"/>
    <xf numFmtId="177" fontId="0" fillId="0" borderId="0" xfId="1" applyNumberFormat="1" applyFont="1" applyBorder="1"/>
    <xf numFmtId="0" fontId="18" fillId="0" borderId="5" xfId="0" applyFont="1" applyBorder="1" applyAlignment="1">
      <alignment horizontal="center"/>
    </xf>
    <xf numFmtId="0" fontId="21" fillId="0" borderId="4" xfId="0" applyFont="1" applyBorder="1" applyAlignment="1">
      <alignment horizontal="center"/>
    </xf>
    <xf numFmtId="38" fontId="0" fillId="0" borderId="14" xfId="0" applyNumberFormat="1" applyBorder="1"/>
    <xf numFmtId="177" fontId="0" fillId="0" borderId="12" xfId="1" applyNumberFormat="1" applyFont="1" applyBorder="1"/>
    <xf numFmtId="38" fontId="0" fillId="0" borderId="20" xfId="0" applyNumberFormat="1" applyBorder="1"/>
    <xf numFmtId="177" fontId="0" fillId="0" borderId="15" xfId="1" applyNumberFormat="1" applyFont="1" applyBorder="1"/>
    <xf numFmtId="38" fontId="0" fillId="0" borderId="19" xfId="0" applyNumberFormat="1" applyBorder="1"/>
    <xf numFmtId="177" fontId="0" fillId="0" borderId="18" xfId="1" applyNumberFormat="1" applyFont="1" applyBorder="1"/>
    <xf numFmtId="38" fontId="0" fillId="0" borderId="20" xfId="4" applyFont="1" applyBorder="1" applyAlignment="1"/>
    <xf numFmtId="38" fontId="0" fillId="0" borderId="19" xfId="4" applyFont="1" applyBorder="1" applyAlignment="1"/>
    <xf numFmtId="38" fontId="0" fillId="0" borderId="14" xfId="4" applyFont="1" applyBorder="1" applyAlignment="1"/>
    <xf numFmtId="177" fontId="0" fillId="0" borderId="15" xfId="0" applyNumberFormat="1" applyBorder="1"/>
    <xf numFmtId="177" fontId="0" fillId="0" borderId="18" xfId="0" applyNumberFormat="1" applyBorder="1"/>
    <xf numFmtId="0" fontId="0" fillId="0" borderId="9" xfId="0" applyBorder="1"/>
    <xf numFmtId="177" fontId="0" fillId="0" borderId="9" xfId="0" applyNumberFormat="1" applyBorder="1"/>
    <xf numFmtId="38" fontId="0" fillId="0" borderId="9" xfId="0" applyNumberFormat="1" applyBorder="1"/>
    <xf numFmtId="40" fontId="0" fillId="0" borderId="9" xfId="0" applyNumberFormat="1" applyBorder="1"/>
    <xf numFmtId="10" fontId="0" fillId="0" borderId="9" xfId="1" applyNumberFormat="1" applyFont="1" applyBorder="1"/>
    <xf numFmtId="0" fontId="18" fillId="4" borderId="4" xfId="0" applyFont="1" applyFill="1" applyBorder="1" applyAlignment="1">
      <alignment horizontal="center"/>
    </xf>
    <xf numFmtId="0" fontId="18" fillId="4" borderId="5" xfId="0" applyFont="1" applyFill="1" applyBorder="1" applyAlignment="1">
      <alignment horizontal="center"/>
    </xf>
    <xf numFmtId="0" fontId="0" fillId="4" borderId="19" xfId="0" applyFill="1" applyBorder="1" applyAlignment="1">
      <alignment horizontal="center"/>
    </xf>
    <xf numFmtId="0" fontId="0" fillId="4" borderId="18" xfId="0" applyFill="1" applyBorder="1" applyAlignment="1">
      <alignment horizontal="center"/>
    </xf>
    <xf numFmtId="0" fontId="0" fillId="4" borderId="20" xfId="0" applyFill="1" applyBorder="1" applyAlignment="1">
      <alignment horizontal="center"/>
    </xf>
    <xf numFmtId="0" fontId="0" fillId="4" borderId="15" xfId="0" applyFill="1" applyBorder="1" applyAlignment="1">
      <alignment horizontal="center"/>
    </xf>
    <xf numFmtId="0" fontId="19" fillId="0" borderId="0" xfId="0" quotePrefix="1" applyFont="1" applyAlignment="1">
      <alignment horizontal="center"/>
    </xf>
    <xf numFmtId="0" fontId="0" fillId="4" borderId="0" xfId="0" applyFill="1" applyAlignment="1">
      <alignment horizontal="center" vertical="center" wrapText="1"/>
    </xf>
    <xf numFmtId="177" fontId="0" fillId="0" borderId="22" xfId="1" applyNumberFormat="1" applyFont="1" applyFill="1" applyBorder="1"/>
    <xf numFmtId="9" fontId="0" fillId="0" borderId="9" xfId="1" applyFont="1" applyBorder="1"/>
    <xf numFmtId="0" fontId="22" fillId="4" borderId="0" xfId="0" applyFont="1" applyFill="1"/>
    <xf numFmtId="0" fontId="23" fillId="4" borderId="0" xfId="0" applyFont="1" applyFill="1"/>
    <xf numFmtId="184" fontId="9" fillId="0" borderId="0" xfId="1" applyNumberFormat="1" applyFont="1"/>
    <xf numFmtId="0" fontId="9" fillId="0" borderId="10" xfId="5" applyFont="1" applyBorder="1" applyAlignment="1">
      <alignment vertical="center" wrapText="1"/>
    </xf>
    <xf numFmtId="10" fontId="9" fillId="0" borderId="17" xfId="5" applyNumberFormat="1" applyFont="1" applyBorder="1" applyAlignment="1">
      <alignment horizontal="center"/>
    </xf>
    <xf numFmtId="0" fontId="5" fillId="4" borderId="3" xfId="0" applyFont="1" applyFill="1" applyBorder="1" applyAlignment="1">
      <alignment horizontal="center" vertical="center"/>
    </xf>
    <xf numFmtId="0" fontId="0" fillId="4" borderId="5" xfId="0" applyFill="1" applyBorder="1"/>
    <xf numFmtId="38" fontId="0" fillId="0" borderId="3" xfId="0" applyNumberFormat="1" applyBorder="1"/>
    <xf numFmtId="0" fontId="24" fillId="4" borderId="5" xfId="0" applyFont="1" applyFill="1" applyBorder="1"/>
    <xf numFmtId="0" fontId="24" fillId="4" borderId="3" xfId="0" applyFont="1" applyFill="1" applyBorder="1"/>
    <xf numFmtId="38" fontId="9" fillId="0" borderId="3" xfId="4" quotePrefix="1" applyFont="1" applyFill="1" applyBorder="1" applyAlignment="1">
      <alignment horizontal="center" vertical="center"/>
    </xf>
    <xf numFmtId="177" fontId="0" fillId="0" borderId="4" xfId="1" applyNumberFormat="1" applyFont="1" applyFill="1" applyBorder="1"/>
    <xf numFmtId="0" fontId="20" fillId="0" borderId="0" xfId="0" applyFont="1" applyAlignment="1">
      <alignment horizontal="center"/>
    </xf>
    <xf numFmtId="0" fontId="9" fillId="0" borderId="5" xfId="0" applyFont="1" applyBorder="1"/>
    <xf numFmtId="0" fontId="0" fillId="0" borderId="0" xfId="1" applyNumberFormat="1" applyFont="1" applyFill="1" applyBorder="1"/>
    <xf numFmtId="0" fontId="25" fillId="4" borderId="0" xfId="0" applyFont="1" applyFill="1"/>
    <xf numFmtId="0" fontId="26" fillId="4" borderId="0" xfId="0" quotePrefix="1" applyFont="1" applyFill="1" applyAlignment="1">
      <alignment horizontal="center"/>
    </xf>
    <xf numFmtId="0" fontId="26" fillId="4" borderId="0" xfId="0" applyFont="1" applyFill="1" applyAlignment="1">
      <alignment horizontal="center"/>
    </xf>
    <xf numFmtId="2" fontId="27" fillId="0" borderId="0" xfId="1" applyNumberFormat="1" applyFont="1" applyFill="1" applyBorder="1"/>
    <xf numFmtId="0" fontId="28" fillId="4" borderId="0" xfId="0" applyFont="1" applyFill="1"/>
    <xf numFmtId="185" fontId="0" fillId="0" borderId="0" xfId="0" applyNumberFormat="1"/>
    <xf numFmtId="2" fontId="0" fillId="0" borderId="0" xfId="0" applyNumberFormat="1"/>
    <xf numFmtId="0" fontId="19" fillId="0" borderId="0" xfId="0" applyFont="1"/>
    <xf numFmtId="0" fontId="29" fillId="0" borderId="0" xfId="0" applyFont="1"/>
    <xf numFmtId="0" fontId="30" fillId="0" borderId="0" xfId="0" applyFont="1"/>
    <xf numFmtId="9" fontId="0" fillId="0" borderId="9" xfId="0" applyNumberFormat="1" applyBorder="1"/>
    <xf numFmtId="2" fontId="0" fillId="0" borderId="4" xfId="0" applyNumberFormat="1" applyBorder="1"/>
    <xf numFmtId="38" fontId="0" fillId="0" borderId="14" xfId="7" applyNumberFormat="1" applyFont="1" applyBorder="1" applyAlignment="1"/>
    <xf numFmtId="38" fontId="0" fillId="0" borderId="20" xfId="7" applyNumberFormat="1" applyFont="1" applyBorder="1" applyAlignment="1"/>
    <xf numFmtId="2" fontId="0" fillId="0" borderId="5" xfId="0" applyNumberFormat="1" applyBorder="1"/>
    <xf numFmtId="38" fontId="0" fillId="0" borderId="4" xfId="7" applyNumberFormat="1" applyFont="1" applyBorder="1" applyAlignment="1"/>
    <xf numFmtId="38" fontId="0" fillId="0" borderId="0" xfId="7" applyNumberFormat="1" applyFont="1" applyBorder="1" applyAlignment="1"/>
    <xf numFmtId="38" fontId="0" fillId="0" borderId="5" xfId="7" applyNumberFormat="1" applyFont="1" applyBorder="1" applyAlignment="1"/>
    <xf numFmtId="177" fontId="0" fillId="0" borderId="0" xfId="0" applyNumberFormat="1"/>
    <xf numFmtId="38" fontId="0" fillId="7" borderId="0" xfId="0" applyNumberFormat="1" applyFill="1"/>
    <xf numFmtId="38" fontId="0" fillId="8" borderId="0" xfId="0" applyNumberFormat="1" applyFill="1"/>
    <xf numFmtId="38" fontId="0" fillId="9" borderId="0" xfId="0" applyNumberFormat="1" applyFill="1"/>
    <xf numFmtId="38" fontId="0" fillId="7" borderId="0" xfId="4" applyFont="1" applyFill="1" applyBorder="1" applyAlignment="1"/>
    <xf numFmtId="38" fontId="0" fillId="8" borderId="0" xfId="4" applyFont="1" applyFill="1" applyBorder="1" applyAlignment="1"/>
    <xf numFmtId="38" fontId="7" fillId="9" borderId="0" xfId="4" applyFont="1" applyFill="1" applyBorder="1" applyAlignment="1"/>
    <xf numFmtId="38" fontId="0" fillId="3" borderId="0" xfId="4" applyFont="1" applyFill="1" applyBorder="1" applyAlignment="1"/>
    <xf numFmtId="38" fontId="0" fillId="10" borderId="0" xfId="4" applyFont="1" applyFill="1" applyBorder="1" applyAlignment="1"/>
    <xf numFmtId="0" fontId="31" fillId="0" borderId="0" xfId="0" applyFont="1"/>
    <xf numFmtId="0" fontId="7" fillId="4" borderId="0" xfId="0" applyFont="1" applyFill="1" applyAlignment="1">
      <alignment horizontal="left"/>
    </xf>
    <xf numFmtId="40" fontId="9" fillId="0" borderId="17" xfId="7" applyFont="1" applyBorder="1" applyAlignment="1">
      <alignment vertical="top"/>
    </xf>
    <xf numFmtId="40" fontId="9" fillId="0" borderId="10" xfId="7" applyFont="1" applyBorder="1" applyAlignment="1"/>
    <xf numFmtId="40" fontId="9" fillId="0" borderId="17" xfId="7" applyFont="1" applyBorder="1" applyAlignment="1"/>
    <xf numFmtId="40" fontId="9" fillId="0" borderId="0" xfId="7" applyFont="1" applyAlignment="1"/>
    <xf numFmtId="40" fontId="11" fillId="0" borderId="17" xfId="7" applyFont="1" applyBorder="1" applyAlignment="1"/>
    <xf numFmtId="38" fontId="0" fillId="0" borderId="0" xfId="7" applyNumberFormat="1" applyFont="1" applyAlignment="1"/>
    <xf numFmtId="38" fontId="5" fillId="0" borderId="3" xfId="7" applyNumberFormat="1" applyFont="1" applyBorder="1" applyAlignment="1"/>
    <xf numFmtId="0" fontId="32" fillId="0" borderId="0" xfId="0" applyFont="1" applyAlignment="1">
      <alignment horizontal="center"/>
    </xf>
    <xf numFmtId="38" fontId="0" fillId="11" borderId="0" xfId="0" applyNumberFormat="1" applyFill="1"/>
    <xf numFmtId="38" fontId="7" fillId="0" borderId="4" xfId="0" applyNumberFormat="1" applyFont="1" applyBorder="1"/>
    <xf numFmtId="0" fontId="0" fillId="0" borderId="0" xfId="0" applyAlignment="1">
      <alignment horizontal="center" vertical="center" wrapText="1"/>
    </xf>
    <xf numFmtId="38" fontId="7" fillId="0" borderId="5" xfId="0" applyNumberFormat="1" applyFont="1" applyBorder="1"/>
    <xf numFmtId="38" fontId="7" fillId="0" borderId="0" xfId="0" applyNumberFormat="1" applyFont="1"/>
    <xf numFmtId="186" fontId="7" fillId="0" borderId="0" xfId="0" applyNumberFormat="1" applyFont="1" applyAlignment="1">
      <alignment horizontal="center" vertical="center"/>
    </xf>
    <xf numFmtId="0" fontId="5" fillId="4" borderId="3"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5" fillId="0" borderId="3" xfId="0" applyFont="1" applyBorder="1" applyAlignment="1">
      <alignment horizontal="center" vertical="center" wrapText="1"/>
    </xf>
    <xf numFmtId="0" fontId="7" fillId="0" borderId="3" xfId="0" applyFont="1" applyBorder="1" applyAlignment="1">
      <alignment horizontal="center" vertical="center" wrapText="1"/>
    </xf>
    <xf numFmtId="38" fontId="7" fillId="9" borderId="0" xfId="0" applyNumberFormat="1" applyFont="1" applyFill="1"/>
    <xf numFmtId="38" fontId="7" fillId="0" borderId="4" xfId="0" applyNumberFormat="1" applyFont="1" applyBorder="1" applyAlignment="1">
      <alignment horizontal="center" vertical="center"/>
    </xf>
    <xf numFmtId="38" fontId="7" fillId="9" borderId="5" xfId="0" applyNumberFormat="1" applyFont="1" applyFill="1" applyBorder="1"/>
    <xf numFmtId="186" fontId="7" fillId="0" borderId="5" xfId="0" applyNumberFormat="1" applyFont="1" applyBorder="1" applyAlignment="1">
      <alignment horizontal="center" vertical="center"/>
    </xf>
    <xf numFmtId="0" fontId="7" fillId="4" borderId="4" xfId="0" applyFont="1" applyFill="1" applyBorder="1" applyAlignment="1">
      <alignment horizontal="center"/>
    </xf>
    <xf numFmtId="0" fontId="7" fillId="4" borderId="5" xfId="0" applyFont="1" applyFill="1" applyBorder="1" applyAlignment="1">
      <alignment horizontal="center"/>
    </xf>
    <xf numFmtId="186" fontId="7" fillId="0" borderId="4" xfId="0" applyNumberFormat="1" applyFont="1" applyBorder="1" applyAlignment="1">
      <alignment horizontal="center" vertical="center"/>
    </xf>
    <xf numFmtId="0" fontId="7" fillId="4" borderId="0" xfId="0" applyFont="1" applyFill="1" applyAlignment="1">
      <alignment horizontal="center"/>
    </xf>
    <xf numFmtId="0" fontId="0" fillId="4" borderId="3" xfId="0" applyFill="1" applyBorder="1" applyAlignment="1">
      <alignment vertical="center" wrapText="1"/>
    </xf>
    <xf numFmtId="38" fontId="5" fillId="5" borderId="0" xfId="7" applyNumberFormat="1" applyFont="1" applyFill="1" applyAlignment="1"/>
    <xf numFmtId="2" fontId="5" fillId="5" borderId="0" xfId="0" applyNumberFormat="1" applyFont="1" applyFill="1"/>
    <xf numFmtId="177" fontId="5" fillId="5" borderId="0" xfId="1" applyNumberFormat="1" applyFont="1" applyFill="1"/>
    <xf numFmtId="0" fontId="0" fillId="0" borderId="3" xfId="0" applyBorder="1"/>
    <xf numFmtId="38" fontId="0" fillId="9" borderId="0" xfId="4" applyFont="1" applyFill="1" applyBorder="1" applyAlignment="1"/>
    <xf numFmtId="38" fontId="7" fillId="0" borderId="3" xfId="4" applyFont="1" applyBorder="1" applyAlignment="1"/>
    <xf numFmtId="38" fontId="7" fillId="0" borderId="4" xfId="4" applyFont="1" applyBorder="1" applyAlignment="1">
      <alignment horizontal="center" vertical="center"/>
    </xf>
    <xf numFmtId="186" fontId="7" fillId="0" borderId="4" xfId="4" applyNumberFormat="1" applyFont="1" applyBorder="1" applyAlignment="1">
      <alignment horizontal="center" vertical="center"/>
    </xf>
    <xf numFmtId="186" fontId="7" fillId="0" borderId="0" xfId="4" applyNumberFormat="1" applyFont="1" applyBorder="1" applyAlignment="1">
      <alignment horizontal="center" vertical="center"/>
    </xf>
    <xf numFmtId="186" fontId="7" fillId="0" borderId="5" xfId="4" applyNumberFormat="1" applyFont="1" applyBorder="1" applyAlignment="1">
      <alignment horizontal="center" vertical="center"/>
    </xf>
    <xf numFmtId="186" fontId="7" fillId="0" borderId="0" xfId="4" applyNumberFormat="1" applyFont="1" applyBorder="1" applyAlignment="1">
      <alignment horizontal="center" vertical="top"/>
    </xf>
    <xf numFmtId="40" fontId="5" fillId="5" borderId="0" xfId="7" applyFont="1" applyFill="1" applyAlignment="1"/>
    <xf numFmtId="177" fontId="5" fillId="5" borderId="0" xfId="1" applyNumberFormat="1" applyFont="1" applyFill="1" applyAlignment="1"/>
    <xf numFmtId="38" fontId="7" fillId="7" borderId="0" xfId="0" applyNumberFormat="1" applyFont="1" applyFill="1"/>
    <xf numFmtId="38" fontId="7" fillId="8" borderId="0" xfId="0" applyNumberFormat="1" applyFont="1" applyFill="1"/>
    <xf numFmtId="38" fontId="7" fillId="8" borderId="5" xfId="0" applyNumberFormat="1" applyFont="1" applyFill="1" applyBorder="1"/>
    <xf numFmtId="0" fontId="5" fillId="0" borderId="0" xfId="0" applyFont="1" applyAlignment="1">
      <alignment horizontal="right"/>
    </xf>
    <xf numFmtId="0" fontId="34" fillId="4" borderId="0" xfId="8" applyFont="1" applyFill="1"/>
    <xf numFmtId="38" fontId="0" fillId="0" borderId="5" xfId="4" quotePrefix="1" applyFont="1" applyFill="1" applyBorder="1" applyAlignment="1">
      <alignment horizontal="center"/>
    </xf>
    <xf numFmtId="0" fontId="25" fillId="0" borderId="24" xfId="1" applyNumberFormat="1" applyFont="1" applyFill="1" applyBorder="1"/>
    <xf numFmtId="9" fontId="0" fillId="0" borderId="1" xfId="1" applyFont="1" applyFill="1" applyBorder="1"/>
    <xf numFmtId="0" fontId="25" fillId="0" borderId="17" xfId="1" applyNumberFormat="1" applyFont="1" applyFill="1" applyBorder="1"/>
    <xf numFmtId="9" fontId="7" fillId="0" borderId="17" xfId="0" applyNumberFormat="1" applyFont="1" applyBorder="1"/>
    <xf numFmtId="0" fontId="39" fillId="0" borderId="0" xfId="0" applyFont="1"/>
    <xf numFmtId="177" fontId="25" fillId="0" borderId="24" xfId="1" applyNumberFormat="1" applyFont="1" applyFill="1" applyBorder="1"/>
    <xf numFmtId="38" fontId="5" fillId="0" borderId="3" xfId="4" applyFont="1" applyFill="1" applyBorder="1" applyAlignment="1"/>
    <xf numFmtId="0" fontId="41" fillId="8" borderId="25" xfId="0" applyFont="1" applyFill="1" applyBorder="1" applyAlignment="1">
      <alignment horizontal="center" vertical="center"/>
    </xf>
    <xf numFmtId="38" fontId="0" fillId="8" borderId="23" xfId="4" applyFont="1" applyFill="1" applyBorder="1" applyAlignment="1">
      <alignment horizontal="center" vertical="center"/>
    </xf>
    <xf numFmtId="0" fontId="0" fillId="8" borderId="23" xfId="0" applyFill="1" applyBorder="1" applyAlignment="1">
      <alignment horizontal="center" vertical="center"/>
    </xf>
    <xf numFmtId="38" fontId="0" fillId="8" borderId="26" xfId="4" applyFont="1" applyFill="1" applyBorder="1" applyAlignment="1">
      <alignment horizontal="center" vertical="center"/>
    </xf>
    <xf numFmtId="0" fontId="0" fillId="4" borderId="27" xfId="0" applyFill="1" applyBorder="1"/>
    <xf numFmtId="38" fontId="0" fillId="0" borderId="28" xfId="4" applyFont="1" applyBorder="1" applyAlignment="1"/>
    <xf numFmtId="0" fontId="5" fillId="4" borderId="27" xfId="0" applyFont="1" applyFill="1" applyBorder="1" applyAlignment="1">
      <alignment horizontal="center" vertical="center"/>
    </xf>
    <xf numFmtId="0" fontId="0" fillId="4" borderId="29" xfId="0" applyFill="1" applyBorder="1"/>
    <xf numFmtId="38" fontId="0" fillId="0" borderId="30" xfId="4" applyFont="1" applyBorder="1" applyAlignment="1"/>
    <xf numFmtId="0" fontId="0" fillId="4" borderId="31" xfId="0" applyFill="1" applyBorder="1"/>
    <xf numFmtId="38" fontId="0" fillId="0" borderId="32" xfId="4" applyFont="1" applyBorder="1" applyAlignment="1"/>
    <xf numFmtId="0" fontId="5" fillId="4" borderId="33" xfId="0" applyFont="1" applyFill="1" applyBorder="1" applyAlignment="1">
      <alignment horizontal="center" vertical="center"/>
    </xf>
    <xf numFmtId="38" fontId="0" fillId="0" borderId="22" xfId="4" applyFont="1" applyFill="1" applyBorder="1" applyAlignment="1"/>
    <xf numFmtId="38" fontId="17" fillId="0" borderId="34" xfId="4" applyFont="1" applyFill="1" applyBorder="1" applyAlignment="1"/>
    <xf numFmtId="38" fontId="5" fillId="0" borderId="28" xfId="4" applyFont="1" applyFill="1" applyBorder="1" applyAlignment="1"/>
    <xf numFmtId="38" fontId="9" fillId="0" borderId="32" xfId="4" applyFont="1" applyFill="1" applyBorder="1" applyAlignment="1"/>
    <xf numFmtId="38" fontId="9" fillId="0" borderId="2" xfId="4" applyFont="1" applyFill="1" applyBorder="1" applyAlignment="1"/>
    <xf numFmtId="38" fontId="9" fillId="8" borderId="1" xfId="4" applyFont="1" applyFill="1" applyBorder="1" applyAlignment="1">
      <alignment horizontal="center" vertical="center"/>
    </xf>
    <xf numFmtId="38" fontId="9" fillId="8" borderId="35" xfId="4" applyFont="1" applyFill="1" applyBorder="1" applyAlignment="1">
      <alignment horizontal="center" vertical="center"/>
    </xf>
    <xf numFmtId="38" fontId="9" fillId="0" borderId="28" xfId="4" applyFont="1" applyFill="1" applyBorder="1" applyAlignment="1"/>
    <xf numFmtId="38" fontId="9" fillId="8" borderId="23" xfId="4" applyFont="1" applyFill="1" applyBorder="1" applyAlignment="1">
      <alignment horizontal="center" vertical="center"/>
    </xf>
    <xf numFmtId="38" fontId="9" fillId="8" borderId="26" xfId="4" applyFont="1" applyFill="1" applyBorder="1" applyAlignment="1">
      <alignment horizontal="center" vertical="center"/>
    </xf>
    <xf numFmtId="38" fontId="9" fillId="0" borderId="30" xfId="4" applyFont="1" applyFill="1" applyBorder="1" applyAlignment="1"/>
    <xf numFmtId="38" fontId="9" fillId="0" borderId="5" xfId="4" quotePrefix="1" applyFont="1" applyFill="1" applyBorder="1" applyAlignment="1">
      <alignment horizontal="center" vertical="center"/>
    </xf>
    <xf numFmtId="38" fontId="9" fillId="0" borderId="4" xfId="4" quotePrefix="1" applyFont="1" applyFill="1" applyBorder="1" applyAlignment="1">
      <alignment vertical="center"/>
    </xf>
    <xf numFmtId="0" fontId="42" fillId="4" borderId="3" xfId="0" applyFont="1" applyFill="1" applyBorder="1" applyAlignment="1">
      <alignment horizontal="center" vertical="center"/>
    </xf>
    <xf numFmtId="38" fontId="9" fillId="0" borderId="28" xfId="4" quotePrefix="1" applyFont="1" applyFill="1" applyBorder="1" applyAlignment="1">
      <alignment horizontal="center" vertical="center"/>
    </xf>
    <xf numFmtId="38" fontId="9" fillId="0" borderId="0" xfId="4" applyFont="1" applyFill="1" applyBorder="1" applyAlignment="1">
      <alignment vertical="center"/>
    </xf>
    <xf numFmtId="38" fontId="9" fillId="0" borderId="32" xfId="4" applyFont="1" applyFill="1" applyBorder="1" applyAlignment="1">
      <alignment vertical="center"/>
    </xf>
    <xf numFmtId="0" fontId="24" fillId="4" borderId="31" xfId="0" applyFont="1" applyFill="1" applyBorder="1"/>
    <xf numFmtId="38" fontId="9" fillId="0" borderId="37" xfId="4" quotePrefix="1" applyFont="1" applyFill="1" applyBorder="1" applyAlignment="1">
      <alignment horizontal="center" vertical="center"/>
    </xf>
    <xf numFmtId="0" fontId="42" fillId="4" borderId="27" xfId="0" applyFont="1" applyFill="1" applyBorder="1" applyAlignment="1">
      <alignment horizontal="center" vertical="center"/>
    </xf>
    <xf numFmtId="38" fontId="17" fillId="0" borderId="36" xfId="4" applyFont="1" applyFill="1" applyBorder="1" applyAlignment="1"/>
    <xf numFmtId="38" fontId="5" fillId="0" borderId="5" xfId="4" applyFont="1" applyFill="1" applyBorder="1" applyAlignment="1"/>
    <xf numFmtId="38" fontId="7" fillId="0" borderId="3" xfId="0" applyNumberFormat="1" applyFont="1" applyBorder="1"/>
    <xf numFmtId="38" fontId="7" fillId="0" borderId="0" xfId="0" applyNumberFormat="1" applyFont="1" applyAlignment="1">
      <alignment horizontal="center" vertical="center"/>
    </xf>
    <xf numFmtId="38" fontId="7" fillId="0" borderId="4" xfId="4" quotePrefix="1" applyFont="1" applyBorder="1" applyAlignment="1">
      <alignment horizontal="center" vertical="center"/>
    </xf>
    <xf numFmtId="38" fontId="7" fillId="0" borderId="0" xfId="4" quotePrefix="1" applyFont="1" applyBorder="1" applyAlignment="1">
      <alignment horizontal="center" vertical="center"/>
    </xf>
    <xf numFmtId="38" fontId="7" fillId="0" borderId="5" xfId="4" quotePrefix="1" applyFont="1" applyBorder="1" applyAlignment="1">
      <alignment horizontal="center" vertical="center"/>
    </xf>
    <xf numFmtId="38" fontId="7" fillId="0" borderId="5" xfId="0" applyNumberFormat="1" applyFont="1" applyBorder="1" applyAlignment="1">
      <alignment horizontal="center" vertical="center"/>
    </xf>
    <xf numFmtId="38" fontId="0" fillId="0" borderId="0" xfId="4" quotePrefix="1" applyFont="1" applyBorder="1" applyAlignment="1">
      <alignment horizontal="center" vertical="center"/>
    </xf>
    <xf numFmtId="38" fontId="0" fillId="0" borderId="0" xfId="4" applyFont="1" applyBorder="1" applyAlignment="1">
      <alignment horizontal="center" vertical="center"/>
    </xf>
    <xf numFmtId="38" fontId="0" fillId="0" borderId="0" xfId="4" applyFont="1" applyFill="1" applyBorder="1" applyAlignment="1">
      <alignment horizontal="center" vertical="center"/>
    </xf>
    <xf numFmtId="38" fontId="11" fillId="0" borderId="36" xfId="4" applyFont="1" applyFill="1" applyBorder="1" applyAlignment="1"/>
    <xf numFmtId="177" fontId="5" fillId="2" borderId="7" xfId="1" applyNumberFormat="1" applyFont="1" applyFill="1" applyBorder="1" applyProtection="1">
      <protection locked="0"/>
    </xf>
    <xf numFmtId="0" fontId="5" fillId="2" borderId="7" xfId="1" applyNumberFormat="1" applyFont="1" applyFill="1" applyBorder="1" applyProtection="1">
      <protection locked="0"/>
    </xf>
    <xf numFmtId="177" fontId="5" fillId="2" borderId="7" xfId="1" applyNumberFormat="1" applyFont="1" applyFill="1" applyBorder="1" applyAlignment="1" applyProtection="1">
      <protection locked="0"/>
    </xf>
    <xf numFmtId="38" fontId="5" fillId="2" borderId="7" xfId="4" applyFont="1" applyFill="1" applyBorder="1" applyAlignment="1" applyProtection="1">
      <protection locked="0"/>
    </xf>
    <xf numFmtId="10" fontId="5" fillId="2" borderId="7" xfId="1" applyNumberFormat="1" applyFont="1" applyFill="1" applyBorder="1" applyAlignment="1" applyProtection="1">
      <protection locked="0"/>
    </xf>
    <xf numFmtId="40" fontId="5" fillId="2" borderId="7" xfId="4" applyNumberFormat="1" applyFont="1" applyFill="1" applyBorder="1" applyAlignment="1" applyProtection="1">
      <protection locked="0"/>
    </xf>
    <xf numFmtId="182" fontId="5" fillId="2" borderId="7" xfId="1" applyNumberFormat="1" applyFont="1" applyFill="1" applyBorder="1" applyProtection="1">
      <protection locked="0"/>
    </xf>
    <xf numFmtId="9" fontId="0" fillId="2" borderId="13" xfId="0" applyNumberFormat="1" applyFill="1" applyBorder="1" applyProtection="1">
      <protection locked="0"/>
    </xf>
    <xf numFmtId="9" fontId="0" fillId="2" borderId="16" xfId="0" applyNumberFormat="1" applyFill="1" applyBorder="1" applyProtection="1">
      <protection locked="0"/>
    </xf>
    <xf numFmtId="177" fontId="0" fillId="2" borderId="13" xfId="0" applyNumberFormat="1" applyFill="1" applyBorder="1" applyProtection="1">
      <protection locked="0"/>
    </xf>
    <xf numFmtId="177" fontId="0" fillId="2" borderId="16" xfId="0" applyNumberFormat="1" applyFill="1" applyBorder="1" applyProtection="1">
      <protection locked="0"/>
    </xf>
    <xf numFmtId="38" fontId="0" fillId="2" borderId="13" xfId="4" applyFont="1" applyFill="1" applyBorder="1" applyAlignment="1" applyProtection="1">
      <protection locked="0"/>
    </xf>
    <xf numFmtId="38" fontId="0" fillId="2" borderId="16" xfId="4" applyFont="1" applyFill="1" applyBorder="1" applyAlignment="1" applyProtection="1">
      <protection locked="0"/>
    </xf>
    <xf numFmtId="0" fontId="0" fillId="2" borderId="13" xfId="0" applyFill="1" applyBorder="1" applyProtection="1">
      <protection locked="0"/>
    </xf>
    <xf numFmtId="0" fontId="0" fillId="2" borderId="16" xfId="0" applyFill="1" applyBorder="1" applyProtection="1">
      <protection locked="0"/>
    </xf>
    <xf numFmtId="40" fontId="0" fillId="2" borderId="13" xfId="0" applyNumberFormat="1" applyFill="1" applyBorder="1" applyProtection="1">
      <protection locked="0"/>
    </xf>
    <xf numFmtId="40" fontId="0" fillId="2" borderId="16" xfId="0" applyNumberFormat="1" applyFill="1" applyBorder="1" applyProtection="1">
      <protection locked="0"/>
    </xf>
    <xf numFmtId="10" fontId="0" fillId="2" borderId="13" xfId="1" applyNumberFormat="1" applyFont="1" applyFill="1" applyBorder="1" applyProtection="1">
      <protection locked="0"/>
    </xf>
    <xf numFmtId="10" fontId="0" fillId="2" borderId="16" xfId="1" applyNumberFormat="1" applyFont="1" applyFill="1" applyBorder="1" applyProtection="1">
      <protection locked="0"/>
    </xf>
    <xf numFmtId="9" fontId="0" fillId="2" borderId="13" xfId="1" applyFont="1" applyFill="1" applyBorder="1" applyProtection="1">
      <protection locked="0"/>
    </xf>
    <xf numFmtId="9" fontId="0" fillId="2" borderId="16" xfId="1" applyFont="1" applyFill="1" applyBorder="1" applyProtection="1">
      <protection locked="0"/>
    </xf>
    <xf numFmtId="2" fontId="9" fillId="2" borderId="17" xfId="5" applyNumberFormat="1" applyFont="1" applyFill="1" applyBorder="1" applyAlignment="1" applyProtection="1">
      <alignment vertical="top"/>
      <protection locked="0"/>
    </xf>
    <xf numFmtId="2" fontId="9" fillId="2" borderId="17" xfId="5" applyNumberFormat="1" applyFont="1" applyFill="1" applyBorder="1" applyProtection="1">
      <protection locked="0"/>
    </xf>
    <xf numFmtId="40" fontId="9" fillId="2" borderId="17" xfId="7" applyFont="1" applyFill="1" applyBorder="1" applyAlignment="1" applyProtection="1">
      <alignment vertical="top"/>
      <protection locked="0"/>
    </xf>
    <xf numFmtId="40" fontId="9" fillId="2" borderId="17" xfId="7" applyFont="1" applyFill="1" applyBorder="1" applyAlignment="1" applyProtection="1">
      <protection locked="0"/>
    </xf>
    <xf numFmtId="40" fontId="7" fillId="2" borderId="17" xfId="7" applyFont="1" applyFill="1" applyBorder="1" applyAlignment="1" applyProtection="1">
      <alignment vertical="top"/>
      <protection locked="0"/>
    </xf>
    <xf numFmtId="40" fontId="7" fillId="2" borderId="17" xfId="7" applyFont="1" applyFill="1" applyBorder="1" applyAlignment="1" applyProtection="1">
      <protection locked="0"/>
    </xf>
    <xf numFmtId="38" fontId="0" fillId="2" borderId="7" xfId="4" applyFont="1" applyFill="1" applyBorder="1" applyAlignment="1" applyProtection="1">
      <protection locked="0"/>
    </xf>
    <xf numFmtId="38" fontId="0" fillId="2" borderId="7" xfId="0" applyNumberFormat="1" applyFill="1" applyBorder="1" applyProtection="1">
      <protection locked="0"/>
    </xf>
    <xf numFmtId="0" fontId="0" fillId="2" borderId="7" xfId="0" applyFill="1" applyBorder="1" applyProtection="1">
      <protection locked="0"/>
    </xf>
    <xf numFmtId="38" fontId="0" fillId="2" borderId="6" xfId="4" applyFont="1" applyFill="1" applyBorder="1" applyAlignment="1" applyProtection="1">
      <protection locked="0"/>
    </xf>
    <xf numFmtId="38" fontId="0" fillId="2" borderId="21" xfId="4" applyFont="1" applyFill="1" applyBorder="1" applyAlignment="1" applyProtection="1">
      <protection locked="0"/>
    </xf>
    <xf numFmtId="9" fontId="0" fillId="2" borderId="7" xfId="1" applyFont="1" applyFill="1" applyBorder="1" applyProtection="1">
      <protection locked="0"/>
    </xf>
    <xf numFmtId="38" fontId="0" fillId="2" borderId="8" xfId="4" applyFont="1" applyFill="1" applyBorder="1" applyAlignment="1" applyProtection="1">
      <protection locked="0"/>
    </xf>
    <xf numFmtId="0" fontId="0" fillId="0" borderId="0" xfId="0" applyProtection="1">
      <protection locked="0"/>
    </xf>
    <xf numFmtId="38" fontId="0" fillId="7" borderId="0" xfId="4" applyFont="1" applyFill="1" applyBorder="1" applyAlignment="1" applyProtection="1">
      <protection locked="0"/>
    </xf>
    <xf numFmtId="0" fontId="0" fillId="4" borderId="0" xfId="0" applyFill="1" applyAlignment="1" applyProtection="1">
      <alignment horizontal="left" vertical="center"/>
      <protection locked="0"/>
    </xf>
    <xf numFmtId="0" fontId="9" fillId="0" borderId="0" xfId="0" applyFont="1" applyProtection="1">
      <protection locked="0"/>
    </xf>
    <xf numFmtId="38" fontId="7" fillId="7" borderId="4" xfId="0" applyNumberFormat="1" applyFont="1" applyFill="1" applyBorder="1" applyProtection="1">
      <protection locked="0"/>
    </xf>
    <xf numFmtId="38" fontId="0" fillId="7" borderId="0" xfId="0" applyNumberFormat="1" applyFill="1" applyProtection="1">
      <protection locked="0"/>
    </xf>
    <xf numFmtId="38" fontId="0" fillId="0" borderId="0" xfId="4" applyFont="1" applyFill="1" applyAlignment="1" applyProtection="1">
      <protection locked="0"/>
    </xf>
    <xf numFmtId="0" fontId="19" fillId="0" borderId="0" xfId="0" applyFont="1" applyProtection="1">
      <protection locked="0"/>
    </xf>
    <xf numFmtId="0" fontId="36" fillId="8" borderId="0" xfId="0" applyFont="1" applyFill="1" applyAlignment="1">
      <alignment horizontal="left" vertical="center" wrapText="1"/>
    </xf>
    <xf numFmtId="0" fontId="5" fillId="6" borderId="0" xfId="0" applyFont="1" applyFill="1" applyAlignment="1">
      <alignment horizontal="left" vertical="center"/>
    </xf>
    <xf numFmtId="0" fontId="9" fillId="4" borderId="4" xfId="0" applyFont="1" applyFill="1" applyBorder="1" applyAlignment="1">
      <alignment horizontal="center" vertical="center"/>
    </xf>
    <xf numFmtId="0" fontId="9" fillId="4" borderId="5" xfId="0" applyFont="1" applyFill="1" applyBorder="1" applyAlignment="1">
      <alignment horizontal="center" vertical="center"/>
    </xf>
    <xf numFmtId="0" fontId="0" fillId="4" borderId="9" xfId="0" applyFill="1" applyBorder="1" applyAlignment="1">
      <alignment horizontal="center" vertical="center"/>
    </xf>
    <xf numFmtId="0" fontId="0" fillId="4" borderId="16" xfId="0" applyFill="1" applyBorder="1" applyAlignment="1">
      <alignment horizontal="center" vertical="center"/>
    </xf>
    <xf numFmtId="0" fontId="0" fillId="4" borderId="14" xfId="0" applyFill="1" applyBorder="1" applyAlignment="1">
      <alignment horizontal="center"/>
    </xf>
    <xf numFmtId="0" fontId="0" fillId="4" borderId="4" xfId="0" applyFill="1" applyBorder="1" applyAlignment="1">
      <alignment horizontal="center"/>
    </xf>
    <xf numFmtId="0" fontId="0" fillId="4" borderId="12" xfId="0" applyFill="1" applyBorder="1" applyAlignment="1">
      <alignment horizontal="center"/>
    </xf>
    <xf numFmtId="0" fontId="0" fillId="4" borderId="0" xfId="0" applyFill="1" applyAlignment="1">
      <alignment horizontal="center"/>
    </xf>
    <xf numFmtId="0" fontId="0" fillId="4" borderId="20" xfId="0" applyFill="1" applyBorder="1" applyAlignment="1">
      <alignment horizontal="center"/>
    </xf>
    <xf numFmtId="0" fontId="0" fillId="4" borderId="15" xfId="0" applyFill="1" applyBorder="1" applyAlignment="1">
      <alignment horizontal="center"/>
    </xf>
    <xf numFmtId="0" fontId="9" fillId="8" borderId="0" xfId="5" applyFont="1" applyFill="1" applyAlignment="1">
      <alignment vertical="top" wrapText="1"/>
    </xf>
    <xf numFmtId="0" fontId="9" fillId="4" borderId="9" xfId="5" applyFont="1" applyFill="1" applyBorder="1" applyAlignment="1">
      <alignment horizontal="center" vertical="center" wrapText="1"/>
    </xf>
    <xf numFmtId="0" fontId="9" fillId="4" borderId="13" xfId="5" applyFont="1" applyFill="1" applyBorder="1" applyAlignment="1">
      <alignment horizontal="center" vertical="center" wrapText="1"/>
    </xf>
    <xf numFmtId="0" fontId="9" fillId="4" borderId="16" xfId="5" applyFont="1" applyFill="1" applyBorder="1" applyAlignment="1">
      <alignment horizontal="center" vertical="center" wrapText="1"/>
    </xf>
    <xf numFmtId="0" fontId="14" fillId="4" borderId="10" xfId="5" applyFont="1" applyFill="1" applyBorder="1" applyAlignment="1">
      <alignment horizontal="center"/>
    </xf>
    <xf numFmtId="0" fontId="14" fillId="4" borderId="3" xfId="5" applyFont="1" applyFill="1" applyBorder="1" applyAlignment="1">
      <alignment horizontal="center"/>
    </xf>
    <xf numFmtId="0" fontId="14" fillId="4" borderId="11" xfId="5" applyFont="1" applyFill="1" applyBorder="1" applyAlignment="1">
      <alignment horizontal="center"/>
    </xf>
    <xf numFmtId="0" fontId="9" fillId="4" borderId="13" xfId="5" applyFont="1" applyFill="1" applyBorder="1" applyAlignment="1" applyProtection="1">
      <alignment horizontal="center" vertical="center" wrapText="1"/>
      <protection locked="0"/>
    </xf>
    <xf numFmtId="0" fontId="9" fillId="4" borderId="12" xfId="5" applyFont="1" applyFill="1" applyBorder="1" applyAlignment="1">
      <alignment horizontal="center" vertical="center" wrapText="1"/>
    </xf>
    <xf numFmtId="0" fontId="9" fillId="4" borderId="15" xfId="5" applyFont="1" applyFill="1" applyBorder="1" applyAlignment="1">
      <alignment horizontal="center" vertical="center" wrapText="1"/>
    </xf>
    <xf numFmtId="0" fontId="9" fillId="4" borderId="18" xfId="5" applyFont="1" applyFill="1" applyBorder="1" applyAlignment="1">
      <alignment horizontal="center" vertical="center" wrapText="1"/>
    </xf>
    <xf numFmtId="0" fontId="9" fillId="4" borderId="10" xfId="5" applyFont="1" applyFill="1" applyBorder="1" applyAlignment="1">
      <alignment horizontal="center"/>
    </xf>
    <xf numFmtId="0" fontId="9" fillId="4" borderId="11" xfId="5" applyFont="1" applyFill="1" applyBorder="1" applyAlignment="1">
      <alignment horizontal="center"/>
    </xf>
    <xf numFmtId="0" fontId="9" fillId="4" borderId="14" xfId="5" applyFont="1" applyFill="1" applyBorder="1" applyAlignment="1">
      <alignment horizontal="center"/>
    </xf>
    <xf numFmtId="0" fontId="9" fillId="4" borderId="12" xfId="5" applyFont="1" applyFill="1" applyBorder="1" applyAlignment="1">
      <alignment horizontal="center"/>
    </xf>
    <xf numFmtId="0" fontId="9" fillId="0" borderId="10" xfId="5" applyFont="1" applyBorder="1" applyAlignment="1">
      <alignment horizontal="left" vertical="center" wrapText="1"/>
    </xf>
    <xf numFmtId="0" fontId="9" fillId="0" borderId="3" xfId="5" applyFont="1" applyBorder="1" applyAlignment="1">
      <alignment horizontal="left" vertical="center" wrapText="1"/>
    </xf>
    <xf numFmtId="0" fontId="9" fillId="0" borderId="11" xfId="5" applyFont="1" applyBorder="1" applyAlignment="1">
      <alignment horizontal="left" vertical="center" wrapText="1"/>
    </xf>
    <xf numFmtId="0" fontId="9" fillId="0" borderId="17" xfId="5" applyFont="1" applyBorder="1" applyAlignment="1">
      <alignment horizontal="center"/>
    </xf>
    <xf numFmtId="0" fontId="9" fillId="0" borderId="10" xfId="5" applyFont="1" applyBorder="1" applyAlignment="1">
      <alignment horizontal="center" vertical="center" wrapText="1"/>
    </xf>
    <xf numFmtId="0" fontId="9" fillId="0" borderId="3" xfId="5" applyFont="1" applyBorder="1" applyAlignment="1">
      <alignment horizontal="center" vertical="center" wrapText="1"/>
    </xf>
    <xf numFmtId="0" fontId="9" fillId="0" borderId="11" xfId="5" applyFont="1" applyBorder="1" applyAlignment="1">
      <alignment horizontal="center" vertical="center" wrapText="1"/>
    </xf>
    <xf numFmtId="0" fontId="9" fillId="0" borderId="10" xfId="5" applyFont="1" applyBorder="1" applyAlignment="1">
      <alignment vertical="center" wrapText="1"/>
    </xf>
    <xf numFmtId="0" fontId="9" fillId="0" borderId="11" xfId="5" applyFont="1" applyBorder="1" applyAlignment="1">
      <alignment vertical="center" wrapText="1"/>
    </xf>
    <xf numFmtId="0" fontId="7" fillId="8" borderId="0" xfId="0" applyFont="1" applyFill="1" applyAlignment="1">
      <alignment vertical="top" wrapText="1"/>
    </xf>
    <xf numFmtId="0" fontId="0" fillId="8" borderId="0" xfId="0" applyFill="1" applyAlignment="1">
      <alignment vertical="top" wrapText="1"/>
    </xf>
    <xf numFmtId="0" fontId="0" fillId="0" borderId="1" xfId="0" applyBorder="1" applyAlignment="1">
      <alignment horizontal="right"/>
    </xf>
    <xf numFmtId="0" fontId="0" fillId="4" borderId="3" xfId="0" applyFill="1" applyBorder="1" applyAlignment="1">
      <alignment horizontal="center" vertical="center" wrapText="1"/>
    </xf>
    <xf numFmtId="0" fontId="0" fillId="4" borderId="4" xfId="0" applyFill="1" applyBorder="1" applyAlignment="1">
      <alignment horizontal="center" vertical="center"/>
    </xf>
    <xf numFmtId="0" fontId="0" fillId="4" borderId="5" xfId="0" applyFill="1" applyBorder="1" applyAlignment="1">
      <alignment horizontal="center" vertical="center"/>
    </xf>
    <xf numFmtId="0" fontId="0" fillId="4" borderId="4" xfId="0" applyFill="1" applyBorder="1" applyAlignment="1">
      <alignment horizontal="center" vertical="center" wrapText="1"/>
    </xf>
    <xf numFmtId="0" fontId="0" fillId="4" borderId="0" xfId="0" applyFill="1" applyAlignment="1">
      <alignment horizontal="center" vertical="center" wrapText="1"/>
    </xf>
    <xf numFmtId="0" fontId="0" fillId="4" borderId="5" xfId="0" applyFill="1" applyBorder="1" applyAlignment="1">
      <alignment horizontal="center" vertical="center" wrapText="1"/>
    </xf>
    <xf numFmtId="0" fontId="0" fillId="4" borderId="3" xfId="0" applyFill="1" applyBorder="1" applyAlignment="1">
      <alignment horizontal="center"/>
    </xf>
    <xf numFmtId="0" fontId="0" fillId="0" borderId="0" xfId="0" applyAlignment="1">
      <alignment horizontal="center"/>
    </xf>
    <xf numFmtId="0" fontId="7" fillId="4" borderId="5" xfId="0" applyFont="1" applyFill="1" applyBorder="1" applyAlignment="1">
      <alignment horizontal="center"/>
    </xf>
    <xf numFmtId="0" fontId="7" fillId="4" borderId="4" xfId="0" applyFont="1" applyFill="1" applyBorder="1" applyAlignment="1">
      <alignment horizontal="center"/>
    </xf>
    <xf numFmtId="0" fontId="7" fillId="4" borderId="12" xfId="0" applyFont="1" applyFill="1" applyBorder="1" applyAlignment="1">
      <alignment horizontal="center" vertical="center"/>
    </xf>
    <xf numFmtId="0" fontId="7" fillId="4" borderId="15" xfId="0" applyFont="1" applyFill="1" applyBorder="1" applyAlignment="1">
      <alignment horizontal="center" vertical="center"/>
    </xf>
    <xf numFmtId="0" fontId="7" fillId="4" borderId="18" xfId="0" applyFont="1" applyFill="1" applyBorder="1" applyAlignment="1">
      <alignment horizontal="center" vertical="center"/>
    </xf>
    <xf numFmtId="0" fontId="7" fillId="4" borderId="3" xfId="0" applyFont="1" applyFill="1" applyBorder="1" applyAlignment="1">
      <alignment horizontal="center"/>
    </xf>
  </cellXfs>
  <cellStyles count="9">
    <cellStyle name="DateLong" xfId="2" xr:uid="{00000000-0005-0000-0000-000001000000}"/>
    <cellStyle name="Normal 6" xfId="3" xr:uid="{AF3272C0-51CF-4727-99B7-E10F0863E310}"/>
    <cellStyle name="パーセント" xfId="1" builtinId="5"/>
    <cellStyle name="ハイパーリンク" xfId="8" builtinId="8"/>
    <cellStyle name="桁区切り" xfId="4" builtinId="6"/>
    <cellStyle name="桁区切り [0.00]" xfId="7" builtinId="3"/>
    <cellStyle name="桁区切り [0.00] 2" xfId="6" xr:uid="{F3D13B0B-88BC-4A81-9962-1AFAA288F322}"/>
    <cellStyle name="標準" xfId="0" builtinId="0"/>
    <cellStyle name="標準 2" xfId="5" xr:uid="{FE6C125E-73AC-4BE2-A34D-248CD6D41A37}"/>
  </cellStyles>
  <dxfs count="0"/>
  <tableStyles count="0" defaultTableStyle="TableStyleMedium2" defaultPivotStyle="PivotStyleLight16"/>
  <colors>
    <mruColors>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庄　智之_SHO Tomoyuki" id="{38ECEF48-440C-4BAB-B435-75BDF0B5B968}" userId="S::sho.tomoyuki@icnet.co.jp::07fd2af6-54c8-4806-82ff-a9175af39330"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G9" dT="2022-07-31T06:44:30.70" personId="{38ECEF48-440C-4BAB-B435-75BDF0B5B968}" id="{A1A92486-DB17-407B-BE5E-0D7F8C803349}">
    <text>Including salvage value</text>
  </threadedComment>
  <threadedComment ref="AG20" dT="2022-07-31T06:45:03.14" personId="{38ECEF48-440C-4BAB-B435-75BDF0B5B968}" id="{783FD8C0-C645-4805-AFEA-487549E9B8AD}">
    <text>Including salvage value</text>
  </threadedComment>
</ThreadedComments>
</file>

<file path=xl/threadedComments/threadedComment2.xml><?xml version="1.0" encoding="utf-8"?>
<ThreadedComments xmlns="http://schemas.microsoft.com/office/spreadsheetml/2018/threadedcomments" xmlns:x="http://schemas.openxmlformats.org/spreadsheetml/2006/main">
  <threadedComment ref="I34" dT="2022-07-31T06:44:30.70" personId="{38ECEF48-440C-4BAB-B435-75BDF0B5B968}" id="{F95877FF-27E0-4BFA-85F0-0D7E3191652C}">
    <text>Including salvage value</text>
  </threadedComment>
  <threadedComment ref="T34" dT="2022-07-31T06:45:03.14" personId="{38ECEF48-440C-4BAB-B435-75BDF0B5B968}" id="{E5EE4A55-A4CC-4DB2-A899-31839E949029}">
    <text>Including salvage value</text>
  </threadedComment>
</ThreadedComments>
</file>

<file path=xl/threadedComments/threadedComment3.xml><?xml version="1.0" encoding="utf-8"?>
<ThreadedComments xmlns="http://schemas.microsoft.com/office/spreadsheetml/2018/threadedcomments" xmlns:x="http://schemas.openxmlformats.org/spreadsheetml/2006/main">
  <threadedComment ref="AG12" dT="2022-07-31T06:45:26.10" personId="{38ECEF48-440C-4BAB-B435-75BDF0B5B968}" id="{24700379-0585-4A1C-876C-66EDEC12BB9D}">
    <text>Including salvage value</text>
  </threadedComment>
  <threadedComment ref="AG26" dT="2022-07-31T06:45:57.36" personId="{38ECEF48-440C-4BAB-B435-75BDF0B5B968}" id="{E8430EF6-C150-4995-91A2-1D3F0819A8B4}">
    <text>Including salvage value</text>
  </threadedComment>
</ThreadedComments>
</file>

<file path=xl/threadedComments/threadedComment4.xml><?xml version="1.0" encoding="utf-8"?>
<ThreadedComments xmlns="http://schemas.microsoft.com/office/spreadsheetml/2018/threadedcomments" xmlns:x="http://schemas.openxmlformats.org/spreadsheetml/2006/main">
  <threadedComment ref="L34" dT="2022-07-31T06:45:26.10" personId="{38ECEF48-440C-4BAB-B435-75BDF0B5B968}" id="{523FF688-6506-4B39-A5D0-BB9E8FFCF5D9}">
    <text>Including salvage value</text>
  </threadedComment>
  <threadedComment ref="Z34" dT="2022-07-31T06:45:57.36" personId="{38ECEF48-440C-4BAB-B435-75BDF0B5B968}" id="{0CF4C30A-883C-4A2E-A304-F872930C5ED6}">
    <text>Including salvage value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 Id="rId4" Type="http://schemas.microsoft.com/office/2017/10/relationships/threadedComment" Target="../threadedComments/threadedComment3.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 Id="rId4" Type="http://schemas.microsoft.com/office/2017/10/relationships/threadedComment" Target="../threadedComments/threadedComment4.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 Id="rId4" Type="http://schemas.microsoft.com/office/2017/10/relationships/threadedComment" Target="../threadedComments/threadedComment1.xml"/></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 Id="rId4" Type="http://schemas.microsoft.com/office/2017/10/relationships/threadedComment" Target="../threadedComments/threadedComment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057B6-A7F4-4DFB-8BB8-DF83467DA650}">
  <sheetPr codeName="Sheet1">
    <tabColor theme="7" tint="0.59999389629810485"/>
  </sheetPr>
  <dimension ref="A1:I21"/>
  <sheetViews>
    <sheetView zoomScale="80" zoomScaleNormal="80" workbookViewId="0">
      <pane xSplit="1" ySplit="1" topLeftCell="B2" activePane="bottomRight" state="frozen"/>
      <selection activeCell="E5" sqref="E5"/>
      <selection pane="topRight" activeCell="E5" sqref="E5"/>
      <selection pane="bottomLeft" activeCell="E5" sqref="E5"/>
      <selection pane="bottomRight" activeCell="B32" sqref="B32"/>
    </sheetView>
  </sheetViews>
  <sheetFormatPr defaultRowHeight="18" x14ac:dyDescent="0.55000000000000004"/>
  <cols>
    <col min="1" max="1" width="2.58203125" customWidth="1"/>
    <col min="2" max="2" width="103.75" bestFit="1" customWidth="1"/>
    <col min="3" max="3" width="2.58203125" customWidth="1"/>
  </cols>
  <sheetData>
    <row r="1" spans="1:9" s="3" customFormat="1" ht="20" x14ac:dyDescent="0.6">
      <c r="A1" s="5" t="s">
        <v>203</v>
      </c>
      <c r="E1" s="5"/>
    </row>
    <row r="2" spans="1:9" ht="3.5" customHeight="1" x14ac:dyDescent="0.6">
      <c r="A2" s="6"/>
      <c r="E2" s="6"/>
    </row>
    <row r="3" spans="1:9" ht="18" customHeight="1" x14ac:dyDescent="0.6">
      <c r="A3" s="6"/>
      <c r="B3" s="262" t="s">
        <v>195</v>
      </c>
      <c r="E3" s="6"/>
    </row>
    <row r="4" spans="1:9" ht="18" customHeight="1" x14ac:dyDescent="0.6">
      <c r="A4" s="6"/>
      <c r="B4" s="262" t="s">
        <v>196</v>
      </c>
      <c r="D4" s="358" t="s">
        <v>202</v>
      </c>
      <c r="E4" s="358"/>
      <c r="F4" s="358"/>
      <c r="G4" s="358"/>
      <c r="H4" s="358"/>
      <c r="I4" s="358"/>
    </row>
    <row r="5" spans="1:9" ht="4" customHeight="1" x14ac:dyDescent="0.55000000000000004">
      <c r="E5" s="349"/>
    </row>
    <row r="6" spans="1:9" ht="18" customHeight="1" x14ac:dyDescent="0.55000000000000004">
      <c r="B6" s="174" t="s">
        <v>98</v>
      </c>
      <c r="D6" s="357" t="s">
        <v>205</v>
      </c>
      <c r="E6" s="357"/>
      <c r="F6" s="357"/>
      <c r="G6" s="357"/>
      <c r="H6" s="357"/>
      <c r="I6" s="357"/>
    </row>
    <row r="7" spans="1:9" x14ac:dyDescent="0.55000000000000004">
      <c r="B7" s="262" t="s">
        <v>206</v>
      </c>
      <c r="D7" s="357"/>
      <c r="E7" s="357"/>
      <c r="F7" s="357"/>
      <c r="G7" s="357"/>
      <c r="H7" s="357"/>
      <c r="I7" s="357"/>
    </row>
    <row r="8" spans="1:9" x14ac:dyDescent="0.55000000000000004">
      <c r="B8" s="262" t="s">
        <v>207</v>
      </c>
      <c r="D8" s="357"/>
      <c r="E8" s="357"/>
      <c r="F8" s="357"/>
      <c r="G8" s="357"/>
      <c r="H8" s="357"/>
      <c r="I8" s="357"/>
    </row>
    <row r="9" spans="1:9" x14ac:dyDescent="0.55000000000000004">
      <c r="B9" s="262" t="s">
        <v>197</v>
      </c>
      <c r="D9" s="357"/>
      <c r="E9" s="357"/>
      <c r="F9" s="357"/>
      <c r="G9" s="357"/>
      <c r="H9" s="357"/>
      <c r="I9" s="357"/>
    </row>
    <row r="10" spans="1:9" x14ac:dyDescent="0.55000000000000004">
      <c r="B10" s="262" t="s">
        <v>208</v>
      </c>
      <c r="D10" s="357"/>
      <c r="E10" s="357"/>
      <c r="F10" s="357"/>
      <c r="G10" s="357"/>
      <c r="H10" s="357"/>
      <c r="I10" s="357"/>
    </row>
    <row r="11" spans="1:9" x14ac:dyDescent="0.55000000000000004">
      <c r="B11" s="262" t="s">
        <v>209</v>
      </c>
      <c r="D11" s="357"/>
      <c r="E11" s="357"/>
      <c r="F11" s="357"/>
      <c r="G11" s="357"/>
      <c r="H11" s="357"/>
      <c r="I11" s="357"/>
    </row>
    <row r="12" spans="1:9" ht="4" customHeight="1" x14ac:dyDescent="0.55000000000000004"/>
    <row r="13" spans="1:9" x14ac:dyDescent="0.55000000000000004">
      <c r="B13" s="175" t="s">
        <v>99</v>
      </c>
    </row>
    <row r="14" spans="1:9" x14ac:dyDescent="0.55000000000000004">
      <c r="B14" s="262" t="s">
        <v>198</v>
      </c>
    </row>
    <row r="15" spans="1:9" x14ac:dyDescent="0.55000000000000004">
      <c r="B15" s="262" t="s">
        <v>199</v>
      </c>
    </row>
    <row r="16" spans="1:9" x14ac:dyDescent="0.55000000000000004">
      <c r="B16" s="262" t="s">
        <v>210</v>
      </c>
    </row>
    <row r="17" spans="2:4" x14ac:dyDescent="0.55000000000000004">
      <c r="B17" s="262" t="s">
        <v>211</v>
      </c>
    </row>
    <row r="18" spans="2:4" ht="4" customHeight="1" x14ac:dyDescent="0.55000000000000004"/>
    <row r="19" spans="2:4" x14ac:dyDescent="0.55000000000000004">
      <c r="B19" s="262" t="s">
        <v>200</v>
      </c>
    </row>
    <row r="20" spans="2:4" x14ac:dyDescent="0.55000000000000004">
      <c r="B20" s="262" t="s">
        <v>201</v>
      </c>
    </row>
    <row r="21" spans="2:4" x14ac:dyDescent="0.55000000000000004">
      <c r="D21" t="s">
        <v>263</v>
      </c>
    </row>
  </sheetData>
  <sheetProtection algorithmName="SHA-512" hashValue="H9Lmz2gDVC7T1tJF4Y/K983xlZwvW2HXP/0BThLH/YyzfPUiGIVLJURhTWABonPosgy1Bf71FPs5NYlyo2hHQg==" saltValue="j3jX6aQYR3X/n6YlRRk1FA==" spinCount="100000" sheet="1" objects="1" scenarios="1" autoFilter="0"/>
  <mergeCells count="2">
    <mergeCell ref="D6:I11"/>
    <mergeCell ref="D4:I4"/>
  </mergeCells>
  <phoneticPr fontId="4"/>
  <hyperlinks>
    <hyperlink ref="B3" location="'0.Contents'!A1" display="0.Contents --&gt; Table of contents" xr:uid="{C95632CA-4CAA-4ED0-A116-D4D62B860BC8}"/>
    <hyperlink ref="B4" location="'1.Params_8.Sensitivity'!A1" display="1.Params --&gt; Setting model parameters &amp; project assumptions/variables" xr:uid="{13FFC386-087F-4D51-930E-EF14B7C19BB0}"/>
    <hyperlink ref="B7" location="'2a.FCosts'!A1" display="2a.FCosts --&gt; Identifying and quantifying financial costs (1)" xr:uid="{55F56059-31F7-431E-AEA1-40F357584A3A}"/>
    <hyperlink ref="B8" location="'2b.FCosts'!A1" display="2b.FCosts --&gt; Identifying and quantifying financial costs (2)" xr:uid="{48C67BC0-C2E3-4309-872E-09D7A284A8AD}"/>
    <hyperlink ref="B9" location="'3.FBenefits'!A1" display="3.FBenefits --&gt; Identifying and quantifying financial benefits" xr:uid="{1B6A3F63-B081-4654-8D3F-352E276789E9}"/>
    <hyperlink ref="B10" location="'4a.FAnalysis'!A1" display="4a.FAnalysis --&gt; Constructing financial cash flow tables and estimating financial indicators (in horizontal format)" xr:uid="{7F60EEF7-75A9-4CB6-82AB-D2369B8F8B71}"/>
    <hyperlink ref="B11" location="'4b.FAnalysis'!A1" display="4b.FAnalysis --&gt; Constructing financial cash flow tables and estimating financial indicators (in vertical format)" xr:uid="{22395A5C-1CBC-44D6-8EAF-3877F2C397EF}"/>
    <hyperlink ref="B14" location="'5.ECosts'!A1" display="5.ECosts --&gt; Identifying and quantifying economic costs" xr:uid="{A08F58A3-485D-470C-828F-A02A80E7BCA4}"/>
    <hyperlink ref="B15" location="'6.EBenefits'!A1" display="6.EBenefits --&gt; Identifying and quantifying economic benefits" xr:uid="{82397A71-D161-47EC-939A-4761A8CAF40B}"/>
    <hyperlink ref="B16" location="'7a.EAnalysis'!A1" display="7a.EAnalysis --&gt; Constructing economic cash flow tables and estimating economic indicators (in horizontal format)" xr:uid="{F5420A87-B1B0-47CA-925A-5891C48C10CB}"/>
    <hyperlink ref="B17" location="'7b.EAnalysis'!A1" display="7b.EAnalysis --&gt; Constructing economic cash flow tables and estimating economic indicators (in vertical format)" xr:uid="{ABF99C11-2162-4308-AB0C-464819F158D8}"/>
    <hyperlink ref="B19" location="'1.Params_8.Sensitivity'!A24" display="8.Sensitivity --&gt; Testing sensitivity of the results to parameters &amp; assumptions" xr:uid="{F1E15C7C-7F48-4DC3-ABA0-328BE15AB391}"/>
    <hyperlink ref="B20" location="'9.Results'!A1" display="9.Results --&gt; Summarizing the results of financial and economic analysis" xr:uid="{ADEE70E2-C476-47B5-9118-2E8B6B763133}"/>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EE438-56E3-450B-A37F-88625E471DF2}">
  <sheetPr codeName="Sheet10">
    <tabColor theme="5" tint="0.59999389629810485"/>
  </sheetPr>
  <dimension ref="A1:AH30"/>
  <sheetViews>
    <sheetView zoomScale="70" zoomScaleNormal="70" workbookViewId="0">
      <pane xSplit="1" ySplit="1" topLeftCell="B7" activePane="bottomRight" state="frozen"/>
      <selection activeCell="B21" sqref="B21"/>
      <selection pane="topRight" activeCell="B21" sqref="B21"/>
      <selection pane="bottomLeft" activeCell="B21" sqref="B21"/>
      <selection pane="bottomRight" activeCell="B21" sqref="B21"/>
    </sheetView>
  </sheetViews>
  <sheetFormatPr defaultRowHeight="18" x14ac:dyDescent="0.55000000000000004"/>
  <cols>
    <col min="1" max="1" width="2.58203125" customWidth="1"/>
    <col min="2" max="2" width="46.58203125" customWidth="1"/>
    <col min="3" max="3" width="12" bestFit="1" customWidth="1"/>
    <col min="4" max="34" width="10.9140625" customWidth="1"/>
  </cols>
  <sheetData>
    <row r="1" spans="1:34" s="3" customFormat="1" ht="20" x14ac:dyDescent="0.6">
      <c r="A1" s="5" t="str">
        <f>"Cash Flows of Economic Costs and Benefits ("&amp;MID('0.Contents'!A1,20,(LEN('0.Contents'!A1)-20))&amp;")----Horizontal format"</f>
        <v>Cash Flows of Economic Costs and Benefits (Power Distribution)----Horizontal format</v>
      </c>
    </row>
    <row r="2" spans="1:34" ht="20" x14ac:dyDescent="0.6">
      <c r="A2" s="6"/>
      <c r="B2" s="397" t="s">
        <v>169</v>
      </c>
      <c r="C2" s="399" t="s">
        <v>24</v>
      </c>
      <c r="D2" s="402" t="s">
        <v>0</v>
      </c>
      <c r="E2" s="402"/>
      <c r="F2" s="402"/>
      <c r="G2" s="402"/>
      <c r="H2" s="402"/>
      <c r="I2" s="402"/>
      <c r="J2" s="402"/>
      <c r="K2" s="402"/>
      <c r="L2" s="402"/>
      <c r="M2" s="402"/>
      <c r="N2" s="402"/>
      <c r="O2" s="402"/>
      <c r="P2" s="402"/>
      <c r="Q2" s="402"/>
      <c r="R2" s="402"/>
      <c r="S2" s="402"/>
      <c r="T2" s="402"/>
      <c r="U2" s="402"/>
      <c r="V2" s="402"/>
      <c r="W2" s="402"/>
      <c r="X2" s="402"/>
      <c r="Y2" s="402"/>
      <c r="Z2" s="402"/>
      <c r="AA2" s="402"/>
      <c r="AB2" s="402"/>
      <c r="AC2" s="402"/>
      <c r="AD2" s="402"/>
      <c r="AE2" s="402"/>
      <c r="AF2" s="402"/>
      <c r="AG2" s="402"/>
      <c r="AH2" s="397" t="s">
        <v>30</v>
      </c>
    </row>
    <row r="3" spans="1:34" ht="20" x14ac:dyDescent="0.6">
      <c r="A3" s="6"/>
      <c r="B3" s="398"/>
      <c r="C3" s="401"/>
      <c r="D3" s="11">
        <v>1</v>
      </c>
      <c r="E3" s="11">
        <v>2</v>
      </c>
      <c r="F3" s="11">
        <v>3</v>
      </c>
      <c r="G3" s="11">
        <v>4</v>
      </c>
      <c r="H3" s="11">
        <v>5</v>
      </c>
      <c r="I3" s="85">
        <v>6</v>
      </c>
      <c r="J3" s="85">
        <v>7</v>
      </c>
      <c r="K3" s="85">
        <v>8</v>
      </c>
      <c r="L3" s="85">
        <v>9</v>
      </c>
      <c r="M3" s="85">
        <v>10</v>
      </c>
      <c r="N3" s="85">
        <v>11</v>
      </c>
      <c r="O3" s="85">
        <v>12</v>
      </c>
      <c r="P3" s="85">
        <v>13</v>
      </c>
      <c r="Q3" s="85">
        <v>14</v>
      </c>
      <c r="R3" s="85">
        <v>15</v>
      </c>
      <c r="S3" s="85">
        <v>16</v>
      </c>
      <c r="T3" s="85">
        <v>17</v>
      </c>
      <c r="U3" s="85">
        <v>18</v>
      </c>
      <c r="V3" s="85">
        <v>19</v>
      </c>
      <c r="W3" s="85">
        <v>20</v>
      </c>
      <c r="X3" s="85">
        <v>21</v>
      </c>
      <c r="Y3" s="85">
        <v>22</v>
      </c>
      <c r="Z3" s="85">
        <v>23</v>
      </c>
      <c r="AA3" s="85">
        <v>24</v>
      </c>
      <c r="AB3" s="85">
        <v>25</v>
      </c>
      <c r="AC3" s="85">
        <v>26</v>
      </c>
      <c r="AD3" s="85">
        <v>27</v>
      </c>
      <c r="AE3" s="85">
        <v>28</v>
      </c>
      <c r="AF3" s="85">
        <v>29</v>
      </c>
      <c r="AG3" s="85">
        <v>30</v>
      </c>
      <c r="AH3" s="398"/>
    </row>
    <row r="4" spans="1:34" x14ac:dyDescent="0.55000000000000004">
      <c r="B4" s="19" t="s">
        <v>1</v>
      </c>
      <c r="C4" s="60">
        <f>SUM(D4:AG4)+C7</f>
        <v>7804925.6032598438</v>
      </c>
      <c r="D4" s="61">
        <f>SUM(D5:D6)*'1.Params_8.Sensitivity'!$D$26</f>
        <v>1069.5020013098274</v>
      </c>
      <c r="E4" s="61">
        <f>SUM(E5:E6)*'1.Params_8.Sensitivity'!$D$26</f>
        <v>70109.468258989407</v>
      </c>
      <c r="F4" s="61">
        <f>SUM(F5:F6)*'1.Params_8.Sensitivity'!$D$26</f>
        <v>77961.550967979521</v>
      </c>
      <c r="G4" s="61">
        <f>SUM(G5:G6)*'1.Params_8.Sensitivity'!$D$26</f>
        <v>46795.605882968805</v>
      </c>
      <c r="H4" s="61">
        <f>SUM(H5:H6)*'1.Params_8.Sensitivity'!$D$26</f>
        <v>1228.8124939901256</v>
      </c>
      <c r="I4" s="61">
        <f>SUM(I5:I6)*'1.Params_8.Sensitivity'!$D$26</f>
        <v>247194.25043478259</v>
      </c>
      <c r="J4" s="61">
        <f>SUM(J5:J6)*'1.Params_8.Sensitivity'!$D$26</f>
        <v>269441.73297391308</v>
      </c>
      <c r="K4" s="61">
        <f>SUM(K5:K6)*'1.Params_8.Sensitivity'!$D$26</f>
        <v>293691.48894156527</v>
      </c>
      <c r="L4" s="61">
        <f>SUM(L5:L6)*'1.Params_8.Sensitivity'!$D$26</f>
        <v>308992.81304347824</v>
      </c>
      <c r="M4" s="61">
        <f>SUM(M5:M6)*'1.Params_8.Sensitivity'!$D$26</f>
        <v>308992.81304347824</v>
      </c>
      <c r="N4" s="61">
        <f>SUM(N5:N6)*'1.Params_8.Sensitivity'!$D$26</f>
        <v>308992.81304347824</v>
      </c>
      <c r="O4" s="61">
        <f>SUM(O5:O6)*'1.Params_8.Sensitivity'!$D$26</f>
        <v>308992.81304347824</v>
      </c>
      <c r="P4" s="61">
        <f>SUM(P5:P6)*'1.Params_8.Sensitivity'!$D$26</f>
        <v>308992.81304347824</v>
      </c>
      <c r="Q4" s="61">
        <f>SUM(Q5:Q6)*'1.Params_8.Sensitivity'!$D$26</f>
        <v>308992.81304347824</v>
      </c>
      <c r="R4" s="61">
        <f>SUM(R5:R6)*'1.Params_8.Sensitivity'!$D$26</f>
        <v>308992.81304347824</v>
      </c>
      <c r="S4" s="61">
        <f>SUM(S5:S6)*'1.Params_8.Sensitivity'!$D$26</f>
        <v>308992.81304347824</v>
      </c>
      <c r="T4" s="61">
        <f>SUM(T5:T6)*'1.Params_8.Sensitivity'!$D$26</f>
        <v>308992.81304347824</v>
      </c>
      <c r="U4" s="61">
        <f>SUM(U5:U6)*'1.Params_8.Sensitivity'!$D$26</f>
        <v>308992.81304347824</v>
      </c>
      <c r="V4" s="61">
        <f>SUM(V5:V6)*'1.Params_8.Sensitivity'!$D$26</f>
        <v>308992.81304347824</v>
      </c>
      <c r="W4" s="61">
        <f>SUM(W5:W6)*'1.Params_8.Sensitivity'!$D$26</f>
        <v>308992.81304347824</v>
      </c>
      <c r="X4" s="61">
        <f>SUM(X5:X6)*'1.Params_8.Sensitivity'!$D$26</f>
        <v>308992.81304347824</v>
      </c>
      <c r="Y4" s="61">
        <f>SUM(Y5:Y6)*'1.Params_8.Sensitivity'!$D$26</f>
        <v>308992.81304347824</v>
      </c>
      <c r="Z4" s="61">
        <f>SUM(Z5:Z6)*'1.Params_8.Sensitivity'!$D$26</f>
        <v>308992.81304347824</v>
      </c>
      <c r="AA4" s="61">
        <f>SUM(AA5:AA6)*'1.Params_8.Sensitivity'!$D$26</f>
        <v>308992.81304347824</v>
      </c>
      <c r="AB4" s="61">
        <f>SUM(AB5:AB6)*'1.Params_8.Sensitivity'!$D$26</f>
        <v>308992.81304347824</v>
      </c>
      <c r="AC4" s="61">
        <f>SUM(AC5:AC6)*'1.Params_8.Sensitivity'!$D$26</f>
        <v>308992.81304347824</v>
      </c>
      <c r="AD4" s="61">
        <f>SUM(AD5:AD6)*'1.Params_8.Sensitivity'!$D$26</f>
        <v>308992.81304347824</v>
      </c>
      <c r="AE4" s="61">
        <f>SUM(AE5:AE6)*'1.Params_8.Sensitivity'!$D$26</f>
        <v>308992.81304347824</v>
      </c>
      <c r="AF4" s="61">
        <f>SUM(AF5:AF6)*'1.Params_8.Sensitivity'!$D$26</f>
        <v>308992.81304347824</v>
      </c>
      <c r="AG4" s="61">
        <f>SUM(AG5:AG6)*'1.Params_8.Sensitivity'!$D$26</f>
        <v>308992.81304347824</v>
      </c>
      <c r="AH4" s="62"/>
    </row>
    <row r="5" spans="1:34" x14ac:dyDescent="0.55000000000000004">
      <c r="B5" s="20" t="s">
        <v>182</v>
      </c>
      <c r="C5" s="57">
        <f t="shared" ref="C5:C6" si="0">SUM(D5:AG5)</f>
        <v>197164.93960523768</v>
      </c>
      <c r="D5" s="211">
        <f>'5.ECosts'!H$32</f>
        <v>1069.5020013098274</v>
      </c>
      <c r="E5" s="350">
        <f>'5.ECosts'!I$32</f>
        <v>70109.468258989407</v>
      </c>
      <c r="F5" s="211">
        <f>'5.ECosts'!J$32</f>
        <v>77961.550967979521</v>
      </c>
      <c r="G5" s="211">
        <f>'5.ECosts'!K$32</f>
        <v>46795.605882968805</v>
      </c>
      <c r="H5" s="211">
        <f>'5.ECosts'!L$32</f>
        <v>1228.8124939901256</v>
      </c>
      <c r="I5" s="311" t="s">
        <v>31</v>
      </c>
      <c r="J5" s="311" t="s">
        <v>31</v>
      </c>
      <c r="K5" s="311" t="s">
        <v>31</v>
      </c>
      <c r="L5" s="311" t="s">
        <v>31</v>
      </c>
      <c r="M5" s="311" t="s">
        <v>31</v>
      </c>
      <c r="N5" s="311" t="s">
        <v>31</v>
      </c>
      <c r="O5" s="311" t="s">
        <v>31</v>
      </c>
      <c r="P5" s="311" t="s">
        <v>31</v>
      </c>
      <c r="Q5" s="311" t="s">
        <v>31</v>
      </c>
      <c r="R5" s="311" t="s">
        <v>31</v>
      </c>
      <c r="S5" s="311" t="s">
        <v>31</v>
      </c>
      <c r="T5" s="311" t="s">
        <v>31</v>
      </c>
      <c r="U5" s="311" t="s">
        <v>31</v>
      </c>
      <c r="V5" s="311" t="s">
        <v>31</v>
      </c>
      <c r="W5" s="311" t="s">
        <v>31</v>
      </c>
      <c r="X5" s="311" t="s">
        <v>31</v>
      </c>
      <c r="Y5" s="311" t="s">
        <v>31</v>
      </c>
      <c r="Z5" s="311" t="s">
        <v>31</v>
      </c>
      <c r="AA5" s="311" t="s">
        <v>31</v>
      </c>
      <c r="AB5" s="311" t="s">
        <v>31</v>
      </c>
      <c r="AC5" s="311" t="s">
        <v>31</v>
      </c>
      <c r="AD5" s="311" t="s">
        <v>31</v>
      </c>
      <c r="AE5" s="311" t="s">
        <v>31</v>
      </c>
      <c r="AF5" s="311" t="s">
        <v>31</v>
      </c>
      <c r="AG5" s="311" t="s">
        <v>31</v>
      </c>
      <c r="AH5" s="57"/>
    </row>
    <row r="6" spans="1:34" x14ac:dyDescent="0.55000000000000004">
      <c r="B6" s="20" t="s">
        <v>183</v>
      </c>
      <c r="C6" s="57">
        <f t="shared" si="0"/>
        <v>7608169.3593067797</v>
      </c>
      <c r="D6" s="55">
        <f>'5.ECosts'!H$53</f>
        <v>0</v>
      </c>
      <c r="E6" s="55">
        <f>'5.ECosts'!I$53</f>
        <v>0</v>
      </c>
      <c r="F6" s="55">
        <f>'5.ECosts'!J$53</f>
        <v>0</v>
      </c>
      <c r="G6" s="55">
        <f>'5.ECosts'!K$53</f>
        <v>0</v>
      </c>
      <c r="H6" s="55">
        <f>'5.ECosts'!L$53</f>
        <v>0</v>
      </c>
      <c r="I6" s="212">
        <f>'5.ECosts'!M$53</f>
        <v>247194.25043478259</v>
      </c>
      <c r="J6" s="212">
        <f>'5.ECosts'!N$53</f>
        <v>269441.73297391308</v>
      </c>
      <c r="K6" s="212">
        <f>'5.ECosts'!O$53</f>
        <v>293691.48894156527</v>
      </c>
      <c r="L6" s="212">
        <f>'5.ECosts'!P$53</f>
        <v>308992.81304347824</v>
      </c>
      <c r="M6" s="212">
        <f>'5.ECosts'!Q$53</f>
        <v>308992.81304347824</v>
      </c>
      <c r="N6" s="212">
        <f>'5.ECosts'!R$53</f>
        <v>308992.81304347824</v>
      </c>
      <c r="O6" s="212">
        <f>'5.ECosts'!S$53</f>
        <v>308992.81304347824</v>
      </c>
      <c r="P6" s="212">
        <f>'5.ECosts'!T$53</f>
        <v>308992.81304347824</v>
      </c>
      <c r="Q6" s="212">
        <f>'5.ECosts'!U$53</f>
        <v>308992.81304347824</v>
      </c>
      <c r="R6" s="212">
        <f>'5.ECosts'!V$53</f>
        <v>308992.81304347824</v>
      </c>
      <c r="S6" s="212">
        <f>'5.ECosts'!W$53</f>
        <v>308992.81304347824</v>
      </c>
      <c r="T6" s="212">
        <f>'5.ECosts'!X$53</f>
        <v>308992.81304347824</v>
      </c>
      <c r="U6" s="212">
        <f>'5.ECosts'!Y$53</f>
        <v>308992.81304347824</v>
      </c>
      <c r="V6" s="212">
        <f>'5.ECosts'!Z$53</f>
        <v>308992.81304347824</v>
      </c>
      <c r="W6" s="212">
        <f>'5.ECosts'!AA$53</f>
        <v>308992.81304347824</v>
      </c>
      <c r="X6" s="212">
        <f>'5.ECosts'!AB$53</f>
        <v>308992.81304347824</v>
      </c>
      <c r="Y6" s="212">
        <f>'5.ECosts'!AC$53</f>
        <v>308992.81304347824</v>
      </c>
      <c r="Z6" s="212">
        <f>'5.ECosts'!AD$53</f>
        <v>308992.81304347824</v>
      </c>
      <c r="AA6" s="212">
        <f>'5.ECosts'!AE$53</f>
        <v>308992.81304347824</v>
      </c>
      <c r="AB6" s="212">
        <f>'5.ECosts'!AF$53</f>
        <v>308992.81304347824</v>
      </c>
      <c r="AC6" s="212">
        <f>'5.ECosts'!AG$53</f>
        <v>308992.81304347824</v>
      </c>
      <c r="AD6" s="212">
        <f>'5.ECosts'!AH$53</f>
        <v>308992.81304347824</v>
      </c>
      <c r="AE6" s="212">
        <f>'5.ECosts'!AI$53</f>
        <v>308992.81304347824</v>
      </c>
      <c r="AF6" s="212">
        <f>'5.ECosts'!AJ$53</f>
        <v>308992.81304347824</v>
      </c>
      <c r="AG6" s="212">
        <f>'5.ECosts'!AK$53</f>
        <v>308992.81304347824</v>
      </c>
      <c r="AH6" s="57"/>
    </row>
    <row r="7" spans="1:34" x14ac:dyDescent="0.55000000000000004">
      <c r="B7" s="20" t="s">
        <v>184</v>
      </c>
      <c r="C7" s="57">
        <f>AH7</f>
        <v>-408.69565217391306</v>
      </c>
      <c r="D7" s="75" t="s">
        <v>31</v>
      </c>
      <c r="E7" s="75" t="s">
        <v>31</v>
      </c>
      <c r="F7" s="75" t="s">
        <v>31</v>
      </c>
      <c r="G7" s="75" t="s">
        <v>31</v>
      </c>
      <c r="H7" s="75" t="s">
        <v>31</v>
      </c>
      <c r="I7" s="75" t="s">
        <v>31</v>
      </c>
      <c r="J7" s="75" t="s">
        <v>31</v>
      </c>
      <c r="K7" s="75" t="s">
        <v>31</v>
      </c>
      <c r="L7" s="75" t="s">
        <v>31</v>
      </c>
      <c r="M7" s="75" t="s">
        <v>31</v>
      </c>
      <c r="N7" s="75" t="s">
        <v>31</v>
      </c>
      <c r="O7" s="75" t="s">
        <v>31</v>
      </c>
      <c r="P7" s="75" t="s">
        <v>31</v>
      </c>
      <c r="Q7" s="75" t="s">
        <v>31</v>
      </c>
      <c r="R7" s="75" t="s">
        <v>31</v>
      </c>
      <c r="S7" s="75" t="s">
        <v>31</v>
      </c>
      <c r="T7" s="75" t="s">
        <v>31</v>
      </c>
      <c r="U7" s="75" t="s">
        <v>31</v>
      </c>
      <c r="V7" s="75" t="s">
        <v>31</v>
      </c>
      <c r="W7" s="75" t="s">
        <v>31</v>
      </c>
      <c r="X7" s="75" t="s">
        <v>31</v>
      </c>
      <c r="Y7" s="75" t="s">
        <v>31</v>
      </c>
      <c r="Z7" s="75" t="s">
        <v>31</v>
      </c>
      <c r="AA7" s="75" t="s">
        <v>31</v>
      </c>
      <c r="AB7" s="75" t="s">
        <v>31</v>
      </c>
      <c r="AC7" s="75" t="s">
        <v>31</v>
      </c>
      <c r="AD7" s="75" t="s">
        <v>31</v>
      </c>
      <c r="AE7" s="75" t="s">
        <v>31</v>
      </c>
      <c r="AF7" s="75" t="s">
        <v>31</v>
      </c>
      <c r="AG7" s="75" t="s">
        <v>31</v>
      </c>
      <c r="AH7" s="57">
        <f>-1*'5.ECosts'!H37</f>
        <v>-408.69565217391306</v>
      </c>
    </row>
    <row r="8" spans="1:34" x14ac:dyDescent="0.55000000000000004">
      <c r="B8" s="21" t="s">
        <v>2</v>
      </c>
      <c r="C8" s="58">
        <f>SUM(D8:AG8)</f>
        <v>9314867.9918391351</v>
      </c>
      <c r="D8" s="57">
        <f>SUM(D9:D11)*'1.Params_8.Sensitivity'!$D$25</f>
        <v>0</v>
      </c>
      <c r="E8" s="57">
        <f>SUM(E9:E11)*'1.Params_8.Sensitivity'!$D$25</f>
        <v>0</v>
      </c>
      <c r="F8" s="57">
        <f>SUM(F9:F11)*'1.Params_8.Sensitivity'!$D$25</f>
        <v>0</v>
      </c>
      <c r="G8" s="57">
        <f>SUM(G9:G11)*'1.Params_8.Sensitivity'!$D$25</f>
        <v>0</v>
      </c>
      <c r="H8" s="57">
        <f>SUM(H9:H11)*'1.Params_8.Sensitivity'!$D$25</f>
        <v>0</v>
      </c>
      <c r="I8" s="57">
        <f>SUM(I9:I11)*'1.Params_8.Sensitivity'!$D$25</f>
        <v>302645.97203333338</v>
      </c>
      <c r="J8" s="57">
        <f>SUM(J9:J11)*'1.Params_8.Sensitivity'!$D$25</f>
        <v>329884.10951633338</v>
      </c>
      <c r="K8" s="57">
        <f>SUM(K9:K11)*'1.Params_8.Sensitivity'!$D$25</f>
        <v>359573.67937280337</v>
      </c>
      <c r="L8" s="57">
        <f>SUM(L9:L11)*'1.Params_8.Sensitivity'!$D$25</f>
        <v>378307.46504166664</v>
      </c>
      <c r="M8" s="57">
        <f>SUM(M9:M11)*'1.Params_8.Sensitivity'!$D$25</f>
        <v>378307.46504166664</v>
      </c>
      <c r="N8" s="57">
        <f>SUM(N9:N11)*'1.Params_8.Sensitivity'!$D$25</f>
        <v>378307.46504166664</v>
      </c>
      <c r="O8" s="57">
        <f>SUM(O9:O11)*'1.Params_8.Sensitivity'!$D$25</f>
        <v>378307.46504166664</v>
      </c>
      <c r="P8" s="57">
        <f>SUM(P9:P11)*'1.Params_8.Sensitivity'!$D$25</f>
        <v>378307.46504166664</v>
      </c>
      <c r="Q8" s="57">
        <f>SUM(Q9:Q11)*'1.Params_8.Sensitivity'!$D$25</f>
        <v>378307.46504166664</v>
      </c>
      <c r="R8" s="57">
        <f>SUM(R9:R11)*'1.Params_8.Sensitivity'!$D$25</f>
        <v>378307.46504166664</v>
      </c>
      <c r="S8" s="57">
        <f>SUM(S9:S11)*'1.Params_8.Sensitivity'!$D$25</f>
        <v>378307.46504166664</v>
      </c>
      <c r="T8" s="57">
        <f>SUM(T9:T11)*'1.Params_8.Sensitivity'!$D$25</f>
        <v>378307.46504166664</v>
      </c>
      <c r="U8" s="57">
        <f>SUM(U9:U11)*'1.Params_8.Sensitivity'!$D$25</f>
        <v>378307.46504166664</v>
      </c>
      <c r="V8" s="57">
        <f>SUM(V9:V11)*'1.Params_8.Sensitivity'!$D$25</f>
        <v>378307.46504166664</v>
      </c>
      <c r="W8" s="57">
        <f>SUM(W9:W11)*'1.Params_8.Sensitivity'!$D$25</f>
        <v>378307.46504166664</v>
      </c>
      <c r="X8" s="57">
        <f>SUM(X9:X11)*'1.Params_8.Sensitivity'!$D$25</f>
        <v>378307.46504166664</v>
      </c>
      <c r="Y8" s="57">
        <f>SUM(Y9:Y11)*'1.Params_8.Sensitivity'!$D$25</f>
        <v>378307.46504166664</v>
      </c>
      <c r="Z8" s="57">
        <f>SUM(Z9:Z11)*'1.Params_8.Sensitivity'!$D$25</f>
        <v>378307.46504166664</v>
      </c>
      <c r="AA8" s="57">
        <f>SUM(AA9:AA11)*'1.Params_8.Sensitivity'!$D$25</f>
        <v>378307.46504166664</v>
      </c>
      <c r="AB8" s="57">
        <f>SUM(AB9:AB11)*'1.Params_8.Sensitivity'!$D$25</f>
        <v>378307.46504166664</v>
      </c>
      <c r="AC8" s="57">
        <f>SUM(AC9:AC11)*'1.Params_8.Sensitivity'!$D$25</f>
        <v>378307.46504166664</v>
      </c>
      <c r="AD8" s="57">
        <f>SUM(AD9:AD11)*'1.Params_8.Sensitivity'!$D$25</f>
        <v>378307.46504166664</v>
      </c>
      <c r="AE8" s="57">
        <f>SUM(AE9:AE11)*'1.Params_8.Sensitivity'!$D$25</f>
        <v>378307.46504166664</v>
      </c>
      <c r="AF8" s="57">
        <f>SUM(AF9:AF11)*'1.Params_8.Sensitivity'!$D$25</f>
        <v>378307.46504166664</v>
      </c>
      <c r="AG8" s="57">
        <f>SUM(AG9:AG11)*'1.Params_8.Sensitivity'!$D$25</f>
        <v>378307.46504166664</v>
      </c>
      <c r="AH8" s="57"/>
    </row>
    <row r="9" spans="1:34" s="79" customFormat="1" x14ac:dyDescent="0.55000000000000004">
      <c r="B9" s="20" t="s">
        <v>193</v>
      </c>
      <c r="C9" s="57">
        <f t="shared" ref="C9:C11" si="1">SUM(D9:AG9)</f>
        <v>8511970.7762292009</v>
      </c>
      <c r="D9" s="82">
        <f>'6.EBenefits'!F58</f>
        <v>0</v>
      </c>
      <c r="E9" s="82">
        <f>'6.EBenefits'!G58</f>
        <v>0</v>
      </c>
      <c r="F9" s="82">
        <f>'6.EBenefits'!H58</f>
        <v>0</v>
      </c>
      <c r="G9" s="82">
        <f>'6.EBenefits'!I58</f>
        <v>0</v>
      </c>
      <c r="H9" s="82">
        <f>'6.EBenefits'!J58</f>
        <v>0</v>
      </c>
      <c r="I9" s="213">
        <f>'6.EBenefits'!K62</f>
        <v>276559.33200000005</v>
      </c>
      <c r="J9" s="213">
        <f>'6.EBenefits'!L62</f>
        <v>301449.6718800001</v>
      </c>
      <c r="K9" s="213">
        <f>'6.EBenefits'!M62</f>
        <v>328580.14234920009</v>
      </c>
      <c r="L9" s="213">
        <f>'6.EBenefits'!N62</f>
        <v>345699.16500000004</v>
      </c>
      <c r="M9" s="213">
        <f>'6.EBenefits'!O62</f>
        <v>345699.16500000004</v>
      </c>
      <c r="N9" s="213">
        <f>'6.EBenefits'!P62</f>
        <v>345699.16500000004</v>
      </c>
      <c r="O9" s="213">
        <f>'6.EBenefits'!Q62</f>
        <v>345699.16500000004</v>
      </c>
      <c r="P9" s="213">
        <f>'6.EBenefits'!R62</f>
        <v>345699.16500000004</v>
      </c>
      <c r="Q9" s="213">
        <f>'6.EBenefits'!S62</f>
        <v>345699.16500000004</v>
      </c>
      <c r="R9" s="213">
        <f>'6.EBenefits'!T62</f>
        <v>345699.16500000004</v>
      </c>
      <c r="S9" s="213">
        <f>'6.EBenefits'!U62</f>
        <v>345699.16500000004</v>
      </c>
      <c r="T9" s="213">
        <f>'6.EBenefits'!V62</f>
        <v>345699.16500000004</v>
      </c>
      <c r="U9" s="213">
        <f>'6.EBenefits'!W62</f>
        <v>345699.16500000004</v>
      </c>
      <c r="V9" s="213">
        <f>'6.EBenefits'!X62</f>
        <v>345699.16500000004</v>
      </c>
      <c r="W9" s="213">
        <f>'6.EBenefits'!Y62</f>
        <v>345699.16500000004</v>
      </c>
      <c r="X9" s="213">
        <f>'6.EBenefits'!Z62</f>
        <v>345699.16500000004</v>
      </c>
      <c r="Y9" s="213">
        <f>'6.EBenefits'!AA62</f>
        <v>345699.16500000004</v>
      </c>
      <c r="Z9" s="213">
        <f>'6.EBenefits'!AB62</f>
        <v>345699.16500000004</v>
      </c>
      <c r="AA9" s="213">
        <f>'6.EBenefits'!AC62</f>
        <v>345699.16500000004</v>
      </c>
      <c r="AB9" s="213">
        <f>'6.EBenefits'!AD62</f>
        <v>345699.16500000004</v>
      </c>
      <c r="AC9" s="213">
        <f>'6.EBenefits'!AE62</f>
        <v>345699.16500000004</v>
      </c>
      <c r="AD9" s="213">
        <f>'6.EBenefits'!AF62</f>
        <v>345699.16500000004</v>
      </c>
      <c r="AE9" s="213">
        <f>'6.EBenefits'!AG62</f>
        <v>345699.16500000004</v>
      </c>
      <c r="AF9" s="213">
        <f>'6.EBenefits'!AH62</f>
        <v>345699.16500000004</v>
      </c>
      <c r="AG9" s="213">
        <f>'6.EBenefits'!AI62</f>
        <v>345699.16500000004</v>
      </c>
      <c r="AH9" s="82"/>
    </row>
    <row r="10" spans="1:34" x14ac:dyDescent="0.55000000000000004">
      <c r="B10" s="20" t="s">
        <v>40</v>
      </c>
      <c r="C10" s="57">
        <f t="shared" si="1"/>
        <v>800530.5849072698</v>
      </c>
      <c r="D10" s="57">
        <f>'6.EBenefits'!F$13</f>
        <v>0</v>
      </c>
      <c r="E10" s="57">
        <f>'6.EBenefits'!G$13</f>
        <v>0</v>
      </c>
      <c r="F10" s="57">
        <f>'6.EBenefits'!H$13</f>
        <v>0</v>
      </c>
      <c r="G10" s="57">
        <f>'6.EBenefits'!I$13</f>
        <v>0</v>
      </c>
      <c r="H10" s="57">
        <f>'6.EBenefits'!J$13</f>
        <v>0</v>
      </c>
      <c r="I10" s="214">
        <f>'6.EBenefits'!K$17</f>
        <v>26009.746699999989</v>
      </c>
      <c r="J10" s="214">
        <f>'6.EBenefits'!L$17</f>
        <v>28350.623902999992</v>
      </c>
      <c r="K10" s="214">
        <f>'6.EBenefits'!M$17</f>
        <v>30902.180054269993</v>
      </c>
      <c r="L10" s="214">
        <f>'6.EBenefits'!N$17</f>
        <v>32512.183374999986</v>
      </c>
      <c r="M10" s="214">
        <f>'6.EBenefits'!O$17</f>
        <v>32512.183374999986</v>
      </c>
      <c r="N10" s="214">
        <f>'6.EBenefits'!P$17</f>
        <v>32512.183374999986</v>
      </c>
      <c r="O10" s="214">
        <f>'6.EBenefits'!Q$17</f>
        <v>32512.183374999986</v>
      </c>
      <c r="P10" s="214">
        <f>'6.EBenefits'!R$17</f>
        <v>32512.183374999986</v>
      </c>
      <c r="Q10" s="214">
        <f>'6.EBenefits'!S$17</f>
        <v>32512.183374999986</v>
      </c>
      <c r="R10" s="214">
        <f>'6.EBenefits'!T$17</f>
        <v>32512.183374999986</v>
      </c>
      <c r="S10" s="214">
        <f>'6.EBenefits'!U$17</f>
        <v>32512.183374999986</v>
      </c>
      <c r="T10" s="214">
        <f>'6.EBenefits'!V$17</f>
        <v>32512.183374999986</v>
      </c>
      <c r="U10" s="214">
        <f>'6.EBenefits'!W$17</f>
        <v>32512.183374999986</v>
      </c>
      <c r="V10" s="214">
        <f>'6.EBenefits'!X$17</f>
        <v>32512.183374999986</v>
      </c>
      <c r="W10" s="214">
        <f>'6.EBenefits'!Y$17</f>
        <v>32512.183374999986</v>
      </c>
      <c r="X10" s="214">
        <f>'6.EBenefits'!Z$17</f>
        <v>32512.183374999986</v>
      </c>
      <c r="Y10" s="214">
        <f>'6.EBenefits'!AA$17</f>
        <v>32512.183374999986</v>
      </c>
      <c r="Z10" s="214">
        <f>'6.EBenefits'!AB$17</f>
        <v>32512.183374999986</v>
      </c>
      <c r="AA10" s="214">
        <f>'6.EBenefits'!AC$17</f>
        <v>32512.183374999986</v>
      </c>
      <c r="AB10" s="214">
        <f>'6.EBenefits'!AD$17</f>
        <v>32512.183374999986</v>
      </c>
      <c r="AC10" s="214">
        <f>'6.EBenefits'!AE$17</f>
        <v>32512.183374999986</v>
      </c>
      <c r="AD10" s="214">
        <f>'6.EBenefits'!AF$17</f>
        <v>32512.183374999986</v>
      </c>
      <c r="AE10" s="214">
        <f>'6.EBenefits'!AG$17</f>
        <v>32512.183374999986</v>
      </c>
      <c r="AF10" s="214">
        <f>'6.EBenefits'!AH$17</f>
        <v>32512.183374999986</v>
      </c>
      <c r="AG10" s="214">
        <f>'6.EBenefits'!AI$17</f>
        <v>32512.183374999986</v>
      </c>
      <c r="AH10" s="57"/>
    </row>
    <row r="11" spans="1:34" x14ac:dyDescent="0.55000000000000004">
      <c r="B11" s="20" t="s">
        <v>146</v>
      </c>
      <c r="C11" s="57">
        <f t="shared" si="1"/>
        <v>2366.6307026666659</v>
      </c>
      <c r="D11" s="57">
        <f>'6.EBenefits'!F$32</f>
        <v>0</v>
      </c>
      <c r="E11" s="57">
        <f>'6.EBenefits'!G$32</f>
        <v>0</v>
      </c>
      <c r="F11" s="57">
        <f>'6.EBenefits'!H$32</f>
        <v>0</v>
      </c>
      <c r="G11" s="57">
        <f>'6.EBenefits'!I$32</f>
        <v>0</v>
      </c>
      <c r="H11" s="57">
        <f>'6.EBenefits'!J$32</f>
        <v>0</v>
      </c>
      <c r="I11" s="215">
        <f>'6.EBenefits'!K$36</f>
        <v>76.893333333333317</v>
      </c>
      <c r="J11" s="215">
        <f>'6.EBenefits'!L$36</f>
        <v>83.813733333333332</v>
      </c>
      <c r="K11" s="215">
        <f>'6.EBenefits'!M$36</f>
        <v>91.356969333333339</v>
      </c>
      <c r="L11" s="215">
        <f>'6.EBenefits'!N$36</f>
        <v>96.116666666666646</v>
      </c>
      <c r="M11" s="215">
        <f>'6.EBenefits'!O$36</f>
        <v>96.116666666666646</v>
      </c>
      <c r="N11" s="215">
        <f>'6.EBenefits'!P$36</f>
        <v>96.116666666666646</v>
      </c>
      <c r="O11" s="215">
        <f>'6.EBenefits'!Q$36</f>
        <v>96.116666666666646</v>
      </c>
      <c r="P11" s="215">
        <f>'6.EBenefits'!R$36</f>
        <v>96.116666666666646</v>
      </c>
      <c r="Q11" s="215">
        <f>'6.EBenefits'!S$36</f>
        <v>96.116666666666646</v>
      </c>
      <c r="R11" s="215">
        <f>'6.EBenefits'!T$36</f>
        <v>96.116666666666646</v>
      </c>
      <c r="S11" s="215">
        <f>'6.EBenefits'!U$36</f>
        <v>96.116666666666646</v>
      </c>
      <c r="T11" s="215">
        <f>'6.EBenefits'!V$36</f>
        <v>96.116666666666646</v>
      </c>
      <c r="U11" s="215">
        <f>'6.EBenefits'!W$36</f>
        <v>96.116666666666646</v>
      </c>
      <c r="V11" s="215">
        <f>'6.EBenefits'!X$36</f>
        <v>96.116666666666646</v>
      </c>
      <c r="W11" s="215">
        <f>'6.EBenefits'!Y$36</f>
        <v>96.116666666666646</v>
      </c>
      <c r="X11" s="215">
        <f>'6.EBenefits'!Z$36</f>
        <v>96.116666666666646</v>
      </c>
      <c r="Y11" s="215">
        <f>'6.EBenefits'!AA$36</f>
        <v>96.116666666666646</v>
      </c>
      <c r="Z11" s="215">
        <f>'6.EBenefits'!AB$36</f>
        <v>96.116666666666646</v>
      </c>
      <c r="AA11" s="215">
        <f>'6.EBenefits'!AC$36</f>
        <v>96.116666666666646</v>
      </c>
      <c r="AB11" s="215">
        <f>'6.EBenefits'!AD$36</f>
        <v>96.116666666666646</v>
      </c>
      <c r="AC11" s="215">
        <f>'6.EBenefits'!AE$36</f>
        <v>96.116666666666646</v>
      </c>
      <c r="AD11" s="215">
        <f>'6.EBenefits'!AF$36</f>
        <v>96.116666666666646</v>
      </c>
      <c r="AE11" s="215">
        <f>'6.EBenefits'!AG$36</f>
        <v>96.116666666666646</v>
      </c>
      <c r="AF11" s="215">
        <f>'6.EBenefits'!AH$36</f>
        <v>96.116666666666646</v>
      </c>
      <c r="AG11" s="215">
        <f>'6.EBenefits'!AI$36</f>
        <v>96.116666666666646</v>
      </c>
      <c r="AH11" s="57"/>
    </row>
    <row r="12" spans="1:34" x14ac:dyDescent="0.55000000000000004">
      <c r="B12" s="22" t="s">
        <v>3</v>
      </c>
      <c r="C12" s="59">
        <f>SUM(D12:AG12)</f>
        <v>1509942.3885792897</v>
      </c>
      <c r="D12" s="51">
        <f>D8-D4</f>
        <v>-1069.5020013098274</v>
      </c>
      <c r="E12" s="51">
        <f t="shared" ref="E12:AF12" si="2">E8-E4</f>
        <v>-70109.468258989407</v>
      </c>
      <c r="F12" s="51">
        <f t="shared" si="2"/>
        <v>-77961.550967979521</v>
      </c>
      <c r="G12" s="51">
        <f t="shared" si="2"/>
        <v>-46795.605882968805</v>
      </c>
      <c r="H12" s="51">
        <f t="shared" si="2"/>
        <v>-1228.8124939901256</v>
      </c>
      <c r="I12" s="51">
        <f>I8-I4</f>
        <v>55451.721598550794</v>
      </c>
      <c r="J12" s="51">
        <f t="shared" si="2"/>
        <v>60442.376542420301</v>
      </c>
      <c r="K12" s="51">
        <f t="shared" si="2"/>
        <v>65882.190431238094</v>
      </c>
      <c r="L12" s="51">
        <f t="shared" si="2"/>
        <v>69314.651998188405</v>
      </c>
      <c r="M12" s="51">
        <f t="shared" si="2"/>
        <v>69314.651998188405</v>
      </c>
      <c r="N12" s="51">
        <f t="shared" si="2"/>
        <v>69314.651998188405</v>
      </c>
      <c r="O12" s="51">
        <f t="shared" si="2"/>
        <v>69314.651998188405</v>
      </c>
      <c r="P12" s="51">
        <f t="shared" si="2"/>
        <v>69314.651998188405</v>
      </c>
      <c r="Q12" s="51">
        <f t="shared" si="2"/>
        <v>69314.651998188405</v>
      </c>
      <c r="R12" s="51">
        <f t="shared" si="2"/>
        <v>69314.651998188405</v>
      </c>
      <c r="S12" s="51">
        <f t="shared" si="2"/>
        <v>69314.651998188405</v>
      </c>
      <c r="T12" s="51">
        <f t="shared" si="2"/>
        <v>69314.651998188405</v>
      </c>
      <c r="U12" s="51">
        <f t="shared" si="2"/>
        <v>69314.651998188405</v>
      </c>
      <c r="V12" s="51">
        <f t="shared" si="2"/>
        <v>69314.651998188405</v>
      </c>
      <c r="W12" s="51">
        <f t="shared" si="2"/>
        <v>69314.651998188405</v>
      </c>
      <c r="X12" s="51">
        <f t="shared" si="2"/>
        <v>69314.651998188405</v>
      </c>
      <c r="Y12" s="51">
        <f t="shared" si="2"/>
        <v>69314.651998188405</v>
      </c>
      <c r="Z12" s="51">
        <f t="shared" si="2"/>
        <v>69314.651998188405</v>
      </c>
      <c r="AA12" s="51">
        <f t="shared" si="2"/>
        <v>69314.651998188405</v>
      </c>
      <c r="AB12" s="51">
        <f t="shared" si="2"/>
        <v>69314.651998188405</v>
      </c>
      <c r="AC12" s="51">
        <f t="shared" si="2"/>
        <v>69314.651998188405</v>
      </c>
      <c r="AD12" s="51">
        <f t="shared" si="2"/>
        <v>69314.651998188405</v>
      </c>
      <c r="AE12" s="51">
        <f t="shared" si="2"/>
        <v>69314.651998188405</v>
      </c>
      <c r="AF12" s="51">
        <f t="shared" si="2"/>
        <v>69314.651998188405</v>
      </c>
      <c r="AG12" s="51">
        <f>AG8-AG4-AH7</f>
        <v>69723.347650362324</v>
      </c>
      <c r="AH12" s="51"/>
    </row>
    <row r="13" spans="1:34" x14ac:dyDescent="0.55000000000000004">
      <c r="B13" s="10"/>
    </row>
    <row r="14" spans="1:34" x14ac:dyDescent="0.55000000000000004">
      <c r="B14" t="str">
        <f>"Economic Discount Rate ("&amp;TEXT('1.Params_8.Sensitivity'!D13,"0%")&amp;")"</f>
        <v>Economic Discount Rate (12%)</v>
      </c>
      <c r="C14" s="39" t="s">
        <v>164</v>
      </c>
      <c r="D14" s="2">
        <f>1/(1+'1.Params_8.Sensitivity'!$D$12)^D3</f>
        <v>0.89285714285714279</v>
      </c>
      <c r="E14" s="2">
        <f>1/(1+'1.Params_8.Sensitivity'!$D$12)^E3</f>
        <v>0.79719387755102034</v>
      </c>
      <c r="F14" s="2">
        <f>1/(1+'1.Params_8.Sensitivity'!$D$12)^F3</f>
        <v>0.71178024781341087</v>
      </c>
      <c r="G14" s="2">
        <f>1/(1+'1.Params_8.Sensitivity'!$D$12)^G3</f>
        <v>0.63551807840483121</v>
      </c>
      <c r="H14" s="2">
        <f>1/(1+'1.Params_8.Sensitivity'!$D$12)^H3</f>
        <v>0.56742685571859919</v>
      </c>
      <c r="I14" s="2">
        <f>1/(1+'1.Params_8.Sensitivity'!$D$12)^I3</f>
        <v>0.50663112117732068</v>
      </c>
      <c r="J14" s="2">
        <f>1/(1+'1.Params_8.Sensitivity'!$D$12)^J3</f>
        <v>0.45234921533689343</v>
      </c>
      <c r="K14" s="2">
        <f>1/(1+'1.Params_8.Sensitivity'!$D$12)^K3</f>
        <v>0.4038832279793691</v>
      </c>
      <c r="L14" s="2">
        <f>1/(1+'1.Params_8.Sensitivity'!$D$12)^L3</f>
        <v>0.36061002498157957</v>
      </c>
      <c r="M14" s="2">
        <f>1/(1+'1.Params_8.Sensitivity'!$D$12)^M3</f>
        <v>0.32197323659069599</v>
      </c>
      <c r="N14" s="2">
        <f>1/(1+'1.Params_8.Sensitivity'!$D$12)^N3</f>
        <v>0.28747610409883567</v>
      </c>
      <c r="O14" s="2">
        <f>1/(1+'1.Params_8.Sensitivity'!$D$12)^O3</f>
        <v>0.25667509294538904</v>
      </c>
      <c r="P14" s="2">
        <f>1/(1+'1.Params_8.Sensitivity'!$D$12)^P3</f>
        <v>0.22917419012981158</v>
      </c>
      <c r="Q14" s="2">
        <f>1/(1+'1.Params_8.Sensitivity'!$D$12)^Q3</f>
        <v>0.20461981261590317</v>
      </c>
      <c r="R14" s="2">
        <f>1/(1+'1.Params_8.Sensitivity'!$D$12)^R3</f>
        <v>0.18269626126419927</v>
      </c>
      <c r="S14" s="2">
        <f>1/(1+'1.Params_8.Sensitivity'!$D$12)^S3</f>
        <v>0.16312166184303503</v>
      </c>
      <c r="T14" s="2">
        <f>1/(1+'1.Params_8.Sensitivity'!$D$12)^T3</f>
        <v>0.14564434093128129</v>
      </c>
      <c r="U14" s="2">
        <f>1/(1+'1.Params_8.Sensitivity'!$D$12)^U3</f>
        <v>0.13003959011721541</v>
      </c>
      <c r="V14" s="2">
        <f>1/(1+'1.Params_8.Sensitivity'!$D$12)^V3</f>
        <v>0.1161067768903709</v>
      </c>
      <c r="W14" s="2">
        <f>1/(1+'1.Params_8.Sensitivity'!$D$12)^W3</f>
        <v>0.1036667650806883</v>
      </c>
      <c r="X14" s="2">
        <f>1/(1+'1.Params_8.Sensitivity'!$D$12)^X3</f>
        <v>9.2559611679185971E-2</v>
      </c>
      <c r="Y14" s="2">
        <f>1/(1+'1.Params_8.Sensitivity'!$D$12)^Y3</f>
        <v>8.2642510427844609E-2</v>
      </c>
      <c r="Z14" s="2">
        <f>1/(1+'1.Params_8.Sensitivity'!$D$12)^Z3</f>
        <v>7.3787955739146982E-2</v>
      </c>
      <c r="AA14" s="2">
        <f>1/(1+'1.Params_8.Sensitivity'!$D$12)^AA3</f>
        <v>6.5882103338524081E-2</v>
      </c>
      <c r="AB14" s="2">
        <f>1/(1+'1.Params_8.Sensitivity'!$D$12)^AB3</f>
        <v>5.8823306552253637E-2</v>
      </c>
      <c r="AC14" s="2">
        <f>1/(1+'1.Params_8.Sensitivity'!$D$12)^AC3</f>
        <v>5.2520809421655032E-2</v>
      </c>
      <c r="AD14" s="2">
        <f>1/(1+'1.Params_8.Sensitivity'!$D$12)^AD3</f>
        <v>4.6893579840763415E-2</v>
      </c>
      <c r="AE14" s="2">
        <f>1/(1+'1.Params_8.Sensitivity'!$D$12)^AE3</f>
        <v>4.1869267714967337E-2</v>
      </c>
      <c r="AF14" s="2">
        <f>1/(1+'1.Params_8.Sensitivity'!$D$12)^AF3</f>
        <v>3.7383274745506546E-2</v>
      </c>
      <c r="AG14" s="2">
        <f>1/(1+'1.Params_8.Sensitivity'!$D$12)^AG3</f>
        <v>3.3377923879916553E-2</v>
      </c>
      <c r="AH14" s="2"/>
    </row>
    <row r="16" spans="1:34" x14ac:dyDescent="0.55000000000000004">
      <c r="B16" s="397" t="s">
        <v>170</v>
      </c>
      <c r="C16" s="397" t="s">
        <v>24</v>
      </c>
      <c r="D16" s="402" t="s">
        <v>0</v>
      </c>
      <c r="E16" s="402"/>
      <c r="F16" s="402"/>
      <c r="G16" s="402"/>
      <c r="H16" s="402"/>
      <c r="I16" s="402"/>
      <c r="J16" s="402"/>
      <c r="K16" s="402"/>
      <c r="L16" s="402"/>
      <c r="M16" s="402"/>
      <c r="N16" s="402"/>
      <c r="O16" s="402"/>
      <c r="P16" s="402"/>
      <c r="Q16" s="402"/>
      <c r="R16" s="402"/>
      <c r="S16" s="402"/>
      <c r="T16" s="402"/>
      <c r="U16" s="402"/>
      <c r="V16" s="402"/>
      <c r="W16" s="402"/>
      <c r="X16" s="402"/>
      <c r="Y16" s="402"/>
      <c r="Z16" s="402"/>
      <c r="AA16" s="402"/>
      <c r="AB16" s="402"/>
      <c r="AC16" s="402"/>
      <c r="AD16" s="402"/>
      <c r="AE16" s="402"/>
      <c r="AF16" s="402"/>
      <c r="AG16" s="402"/>
      <c r="AH16" s="397" t="s">
        <v>30</v>
      </c>
    </row>
    <row r="17" spans="1:34" x14ac:dyDescent="0.55000000000000004">
      <c r="B17" s="398"/>
      <c r="C17" s="398"/>
      <c r="D17" s="11">
        <v>1</v>
      </c>
      <c r="E17" s="11">
        <v>2</v>
      </c>
      <c r="F17" s="11">
        <v>3</v>
      </c>
      <c r="G17" s="11">
        <v>4</v>
      </c>
      <c r="H17" s="11">
        <v>5</v>
      </c>
      <c r="I17" s="85">
        <v>6</v>
      </c>
      <c r="J17" s="85">
        <v>7</v>
      </c>
      <c r="K17" s="85">
        <v>8</v>
      </c>
      <c r="L17" s="85">
        <v>9</v>
      </c>
      <c r="M17" s="85">
        <v>10</v>
      </c>
      <c r="N17" s="85">
        <v>11</v>
      </c>
      <c r="O17" s="85">
        <v>12</v>
      </c>
      <c r="P17" s="85">
        <v>13</v>
      </c>
      <c r="Q17" s="85">
        <v>14</v>
      </c>
      <c r="R17" s="85">
        <v>15</v>
      </c>
      <c r="S17" s="85">
        <v>16</v>
      </c>
      <c r="T17" s="85">
        <v>17</v>
      </c>
      <c r="U17" s="85">
        <v>18</v>
      </c>
      <c r="V17" s="85">
        <v>19</v>
      </c>
      <c r="W17" s="85">
        <v>20</v>
      </c>
      <c r="X17" s="85">
        <v>21</v>
      </c>
      <c r="Y17" s="85">
        <v>22</v>
      </c>
      <c r="Z17" s="85">
        <v>23</v>
      </c>
      <c r="AA17" s="85">
        <v>24</v>
      </c>
      <c r="AB17" s="85">
        <v>25</v>
      </c>
      <c r="AC17" s="85">
        <v>26</v>
      </c>
      <c r="AD17" s="85">
        <v>27</v>
      </c>
      <c r="AE17" s="85">
        <v>28</v>
      </c>
      <c r="AF17" s="85">
        <v>29</v>
      </c>
      <c r="AG17" s="85">
        <v>30</v>
      </c>
      <c r="AH17" s="398"/>
    </row>
    <row r="18" spans="1:34" x14ac:dyDescent="0.55000000000000004">
      <c r="B18" s="19" t="s">
        <v>1</v>
      </c>
      <c r="C18" s="60">
        <f>SUM(D18:AG18)+C21</f>
        <v>1462524.4080794675</v>
      </c>
      <c r="D18" s="61">
        <f>D4*D$14</f>
        <v>954.91250116948868</v>
      </c>
      <c r="E18" s="61">
        <f t="shared" ref="E18:AG18" si="3">E4*E$14</f>
        <v>55890.83885442395</v>
      </c>
      <c r="F18" s="61">
        <f t="shared" si="3"/>
        <v>55491.492067906329</v>
      </c>
      <c r="G18" s="61">
        <f t="shared" si="3"/>
        <v>29739.453528534148</v>
      </c>
      <c r="H18" s="61">
        <f t="shared" si="3"/>
        <v>697.26120973254706</v>
      </c>
      <c r="I18" s="61">
        <f t="shared" si="3"/>
        <v>125236.30024636129</v>
      </c>
      <c r="J18" s="61">
        <f t="shared" si="3"/>
        <v>121881.75648976235</v>
      </c>
      <c r="K18" s="61">
        <f t="shared" si="3"/>
        <v>118617.06658378657</v>
      </c>
      <c r="L18" s="61">
        <f t="shared" si="3"/>
        <v>111425.90603073723</v>
      </c>
      <c r="M18" s="61">
        <f t="shared" si="3"/>
        <v>99487.416098872505</v>
      </c>
      <c r="N18" s="61">
        <f t="shared" si="3"/>
        <v>88828.050088279022</v>
      </c>
      <c r="O18" s="61">
        <f t="shared" si="3"/>
        <v>79310.759007392</v>
      </c>
      <c r="P18" s="61">
        <f t="shared" si="3"/>
        <v>70813.177685171409</v>
      </c>
      <c r="Q18" s="61">
        <f t="shared" si="3"/>
        <v>63226.051504617317</v>
      </c>
      <c r="R18" s="61">
        <f t="shared" si="3"/>
        <v>56451.831700551178</v>
      </c>
      <c r="S18" s="61">
        <f t="shared" si="3"/>
        <v>50403.421161206403</v>
      </c>
      <c r="T18" s="61">
        <f t="shared" si="3"/>
        <v>45003.054608220002</v>
      </c>
      <c r="U18" s="61">
        <f t="shared" si="3"/>
        <v>40181.298757339282</v>
      </c>
      <c r="V18" s="61">
        <f t="shared" si="3"/>
        <v>35876.159604767214</v>
      </c>
      <c r="W18" s="61">
        <f t="shared" si="3"/>
        <v>32032.285361399296</v>
      </c>
      <c r="X18" s="61">
        <f t="shared" si="3"/>
        <v>28600.254786963655</v>
      </c>
      <c r="Y18" s="61">
        <f t="shared" si="3"/>
        <v>25535.94177407469</v>
      </c>
      <c r="Z18" s="61">
        <f t="shared" si="3"/>
        <v>22799.948012566689</v>
      </c>
      <c r="AA18" s="61">
        <f t="shared" si="3"/>
        <v>20357.096439791683</v>
      </c>
      <c r="AB18" s="61">
        <f t="shared" si="3"/>
        <v>18175.978964099715</v>
      </c>
      <c r="AC18" s="61">
        <f t="shared" si="3"/>
        <v>16228.552646517604</v>
      </c>
      <c r="AD18" s="61">
        <f t="shared" si="3"/>
        <v>14489.779148676429</v>
      </c>
      <c r="AE18" s="61">
        <f t="shared" si="3"/>
        <v>12937.302811318241</v>
      </c>
      <c r="AF18" s="61">
        <f t="shared" si="3"/>
        <v>11551.163224391286</v>
      </c>
      <c r="AG18" s="61">
        <f t="shared" si="3"/>
        <v>10313.538593206504</v>
      </c>
      <c r="AH18" s="61"/>
    </row>
    <row r="19" spans="1:34" x14ac:dyDescent="0.55000000000000004">
      <c r="B19" s="20" t="s">
        <v>182</v>
      </c>
      <c r="C19" s="57">
        <f t="shared" ref="C19:C25" si="4">SUM(D19:AG19)</f>
        <v>142773.95816176647</v>
      </c>
      <c r="D19" s="57">
        <f t="shared" ref="D19:H19" si="5">D5*D$14</f>
        <v>954.91250116948868</v>
      </c>
      <c r="E19" s="57">
        <f t="shared" si="5"/>
        <v>55890.83885442395</v>
      </c>
      <c r="F19" s="57">
        <f t="shared" si="5"/>
        <v>55491.492067906329</v>
      </c>
      <c r="G19" s="57">
        <f t="shared" si="5"/>
        <v>29739.453528534148</v>
      </c>
      <c r="H19" s="57">
        <f t="shared" si="5"/>
        <v>697.26120973254706</v>
      </c>
      <c r="I19" s="311" t="s">
        <v>31</v>
      </c>
      <c r="J19" s="311" t="s">
        <v>31</v>
      </c>
      <c r="K19" s="311" t="s">
        <v>31</v>
      </c>
      <c r="L19" s="311" t="s">
        <v>31</v>
      </c>
      <c r="M19" s="311" t="s">
        <v>31</v>
      </c>
      <c r="N19" s="311" t="s">
        <v>31</v>
      </c>
      <c r="O19" s="311" t="s">
        <v>31</v>
      </c>
      <c r="P19" s="311" t="s">
        <v>31</v>
      </c>
      <c r="Q19" s="311" t="s">
        <v>31</v>
      </c>
      <c r="R19" s="311" t="s">
        <v>31</v>
      </c>
      <c r="S19" s="311" t="s">
        <v>31</v>
      </c>
      <c r="T19" s="311" t="s">
        <v>31</v>
      </c>
      <c r="U19" s="311" t="s">
        <v>31</v>
      </c>
      <c r="V19" s="311" t="s">
        <v>31</v>
      </c>
      <c r="W19" s="311" t="s">
        <v>31</v>
      </c>
      <c r="X19" s="311" t="s">
        <v>31</v>
      </c>
      <c r="Y19" s="311" t="s">
        <v>31</v>
      </c>
      <c r="Z19" s="311" t="s">
        <v>31</v>
      </c>
      <c r="AA19" s="311" t="s">
        <v>31</v>
      </c>
      <c r="AB19" s="311" t="s">
        <v>31</v>
      </c>
      <c r="AC19" s="311" t="s">
        <v>31</v>
      </c>
      <c r="AD19" s="311" t="s">
        <v>31</v>
      </c>
      <c r="AE19" s="311" t="s">
        <v>31</v>
      </c>
      <c r="AF19" s="311" t="s">
        <v>31</v>
      </c>
      <c r="AG19" s="311" t="s">
        <v>31</v>
      </c>
      <c r="AH19" s="57"/>
    </row>
    <row r="20" spans="1:34" x14ac:dyDescent="0.55000000000000004">
      <c r="B20" s="20" t="s">
        <v>183</v>
      </c>
      <c r="C20" s="57">
        <f>SUM(D20:AG20)</f>
        <v>1319764.0913300694</v>
      </c>
      <c r="D20" s="57">
        <f t="shared" ref="D20:AG20" si="6">D6*D$14</f>
        <v>0</v>
      </c>
      <c r="E20" s="57">
        <f t="shared" si="6"/>
        <v>0</v>
      </c>
      <c r="F20" s="57">
        <f t="shared" si="6"/>
        <v>0</v>
      </c>
      <c r="G20" s="57">
        <f t="shared" si="6"/>
        <v>0</v>
      </c>
      <c r="H20" s="57">
        <f t="shared" si="6"/>
        <v>0</v>
      </c>
      <c r="I20" s="57">
        <f t="shared" si="6"/>
        <v>125236.30024636129</v>
      </c>
      <c r="J20" s="57">
        <f t="shared" si="6"/>
        <v>121881.75648976235</v>
      </c>
      <c r="K20" s="57">
        <f t="shared" si="6"/>
        <v>118617.06658378657</v>
      </c>
      <c r="L20" s="57">
        <f t="shared" si="6"/>
        <v>111425.90603073723</v>
      </c>
      <c r="M20" s="57">
        <f t="shared" si="6"/>
        <v>99487.416098872505</v>
      </c>
      <c r="N20" s="57">
        <f t="shared" si="6"/>
        <v>88828.050088279022</v>
      </c>
      <c r="O20" s="57">
        <f t="shared" si="6"/>
        <v>79310.759007392</v>
      </c>
      <c r="P20" s="57">
        <f t="shared" si="6"/>
        <v>70813.177685171409</v>
      </c>
      <c r="Q20" s="57">
        <f t="shared" si="6"/>
        <v>63226.051504617317</v>
      </c>
      <c r="R20" s="57">
        <f t="shared" si="6"/>
        <v>56451.831700551178</v>
      </c>
      <c r="S20" s="57">
        <f t="shared" si="6"/>
        <v>50403.421161206403</v>
      </c>
      <c r="T20" s="57">
        <f t="shared" si="6"/>
        <v>45003.054608220002</v>
      </c>
      <c r="U20" s="57">
        <f t="shared" si="6"/>
        <v>40181.298757339282</v>
      </c>
      <c r="V20" s="57">
        <f t="shared" si="6"/>
        <v>35876.159604767214</v>
      </c>
      <c r="W20" s="57">
        <f t="shared" si="6"/>
        <v>32032.285361399296</v>
      </c>
      <c r="X20" s="57">
        <f t="shared" si="6"/>
        <v>28600.254786963655</v>
      </c>
      <c r="Y20" s="57">
        <f t="shared" si="6"/>
        <v>25535.94177407469</v>
      </c>
      <c r="Z20" s="57">
        <f t="shared" si="6"/>
        <v>22799.948012566689</v>
      </c>
      <c r="AA20" s="57">
        <f t="shared" si="6"/>
        <v>20357.096439791683</v>
      </c>
      <c r="AB20" s="57">
        <f t="shared" si="6"/>
        <v>18175.978964099715</v>
      </c>
      <c r="AC20" s="57">
        <f t="shared" si="6"/>
        <v>16228.552646517604</v>
      </c>
      <c r="AD20" s="57">
        <f t="shared" si="6"/>
        <v>14489.779148676429</v>
      </c>
      <c r="AE20" s="57">
        <f t="shared" si="6"/>
        <v>12937.302811318241</v>
      </c>
      <c r="AF20" s="57">
        <f t="shared" si="6"/>
        <v>11551.163224391286</v>
      </c>
      <c r="AG20" s="57">
        <f t="shared" si="6"/>
        <v>10313.538593206504</v>
      </c>
      <c r="AH20" s="57"/>
    </row>
    <row r="21" spans="1:34" x14ac:dyDescent="0.55000000000000004">
      <c r="B21" s="20" t="s">
        <v>184</v>
      </c>
      <c r="C21" s="57">
        <f>AH21</f>
        <v>-13.641412368313722</v>
      </c>
      <c r="D21" s="75" t="s">
        <v>31</v>
      </c>
      <c r="E21" s="75" t="s">
        <v>31</v>
      </c>
      <c r="F21" s="75" t="s">
        <v>31</v>
      </c>
      <c r="G21" s="75" t="s">
        <v>31</v>
      </c>
      <c r="H21" s="75" t="s">
        <v>31</v>
      </c>
      <c r="I21" s="75" t="s">
        <v>31</v>
      </c>
      <c r="J21" s="75" t="s">
        <v>31</v>
      </c>
      <c r="K21" s="75" t="s">
        <v>31</v>
      </c>
      <c r="L21" s="75" t="s">
        <v>31</v>
      </c>
      <c r="M21" s="75" t="s">
        <v>31</v>
      </c>
      <c r="N21" s="75" t="s">
        <v>31</v>
      </c>
      <c r="O21" s="75" t="s">
        <v>31</v>
      </c>
      <c r="P21" s="75" t="s">
        <v>31</v>
      </c>
      <c r="Q21" s="75" t="s">
        <v>31</v>
      </c>
      <c r="R21" s="75" t="s">
        <v>31</v>
      </c>
      <c r="S21" s="75" t="s">
        <v>31</v>
      </c>
      <c r="T21" s="75" t="s">
        <v>31</v>
      </c>
      <c r="U21" s="75" t="s">
        <v>31</v>
      </c>
      <c r="V21" s="75" t="s">
        <v>31</v>
      </c>
      <c r="W21" s="75" t="s">
        <v>31</v>
      </c>
      <c r="X21" s="75" t="s">
        <v>31</v>
      </c>
      <c r="Y21" s="75" t="s">
        <v>31</v>
      </c>
      <c r="Z21" s="75" t="s">
        <v>31</v>
      </c>
      <c r="AA21" s="75" t="s">
        <v>31</v>
      </c>
      <c r="AB21" s="75" t="s">
        <v>31</v>
      </c>
      <c r="AC21" s="75" t="s">
        <v>31</v>
      </c>
      <c r="AD21" s="75" t="s">
        <v>31</v>
      </c>
      <c r="AE21" s="75" t="s">
        <v>31</v>
      </c>
      <c r="AF21" s="75" t="s">
        <v>31</v>
      </c>
      <c r="AG21" s="75" t="s">
        <v>31</v>
      </c>
      <c r="AH21" s="57">
        <f>AH7*AG14</f>
        <v>-13.641412368313722</v>
      </c>
    </row>
    <row r="22" spans="1:34" x14ac:dyDescent="0.55000000000000004">
      <c r="B22" s="21" t="s">
        <v>2</v>
      </c>
      <c r="C22" s="58">
        <f t="shared" si="4"/>
        <v>1615819.4843640074</v>
      </c>
      <c r="D22" s="57">
        <f>D8*D$14</f>
        <v>0</v>
      </c>
      <c r="E22" s="57">
        <f t="shared" ref="E22:AG22" si="7">E8*E$14</f>
        <v>0</v>
      </c>
      <c r="F22" s="57">
        <f t="shared" si="7"/>
        <v>0</v>
      </c>
      <c r="G22" s="57">
        <f t="shared" si="7"/>
        <v>0</v>
      </c>
      <c r="H22" s="57">
        <f t="shared" si="7"/>
        <v>0</v>
      </c>
      <c r="I22" s="57">
        <f t="shared" si="7"/>
        <v>153329.86813104773</v>
      </c>
      <c r="J22" s="57">
        <f t="shared" si="7"/>
        <v>149222.81809182322</v>
      </c>
      <c r="K22" s="57">
        <f t="shared" si="7"/>
        <v>145225.77832150651</v>
      </c>
      <c r="L22" s="57">
        <f t="shared" si="7"/>
        <v>136421.46441939345</v>
      </c>
      <c r="M22" s="57">
        <f t="shared" si="7"/>
        <v>121804.87894588699</v>
      </c>
      <c r="N22" s="57">
        <f t="shared" si="7"/>
        <v>108754.3562016848</v>
      </c>
      <c r="O22" s="57">
        <f t="shared" si="7"/>
        <v>97102.103751504299</v>
      </c>
      <c r="P22" s="57">
        <f t="shared" si="7"/>
        <v>86698.306920985953</v>
      </c>
      <c r="Q22" s="57">
        <f t="shared" si="7"/>
        <v>77409.202608023174</v>
      </c>
      <c r="R22" s="57">
        <f t="shared" si="7"/>
        <v>69115.359471449265</v>
      </c>
      <c r="S22" s="57">
        <f t="shared" si="7"/>
        <v>61710.142385222542</v>
      </c>
      <c r="T22" s="57">
        <f t="shared" si="7"/>
        <v>55098.341415377276</v>
      </c>
      <c r="U22" s="57">
        <f t="shared" si="7"/>
        <v>49194.947692301132</v>
      </c>
      <c r="V22" s="57">
        <f t="shared" si="7"/>
        <v>43924.060439554574</v>
      </c>
      <c r="W22" s="57">
        <f t="shared" si="7"/>
        <v>39217.911106745159</v>
      </c>
      <c r="X22" s="57">
        <f t="shared" si="7"/>
        <v>35015.992059593889</v>
      </c>
      <c r="Y22" s="57">
        <f t="shared" si="7"/>
        <v>31264.278624637394</v>
      </c>
      <c r="Z22" s="57">
        <f t="shared" si="7"/>
        <v>27914.534486283392</v>
      </c>
      <c r="AA22" s="57">
        <f t="shared" si="7"/>
        <v>24923.691505610168</v>
      </c>
      <c r="AB22" s="57">
        <f t="shared" si="7"/>
        <v>22253.295987151934</v>
      </c>
      <c r="AC22" s="57">
        <f t="shared" si="7"/>
        <v>19869.014274242796</v>
      </c>
      <c r="AD22" s="57">
        <f t="shared" si="7"/>
        <v>17740.191316288208</v>
      </c>
      <c r="AE22" s="57">
        <f t="shared" si="7"/>
        <v>15839.456532400187</v>
      </c>
      <c r="AF22" s="57">
        <f t="shared" si="7"/>
        <v>14142.371903928737</v>
      </c>
      <c r="AG22" s="57">
        <f t="shared" si="7"/>
        <v>12627.117771364941</v>
      </c>
      <c r="AH22" s="57"/>
    </row>
    <row r="23" spans="1:34" s="79" customFormat="1" x14ac:dyDescent="0.55000000000000004">
      <c r="A23"/>
      <c r="B23" s="20" t="s">
        <v>145</v>
      </c>
      <c r="C23" s="57">
        <f t="shared" si="4"/>
        <v>1476543.5476507067</v>
      </c>
      <c r="D23" s="57">
        <f>D9*D$14</f>
        <v>0</v>
      </c>
      <c r="E23" s="57">
        <f t="shared" ref="E23:AG23" si="8">E9*E$14</f>
        <v>0</v>
      </c>
      <c r="F23" s="57">
        <f t="shared" si="8"/>
        <v>0</v>
      </c>
      <c r="G23" s="57">
        <f t="shared" si="8"/>
        <v>0</v>
      </c>
      <c r="H23" s="57">
        <f t="shared" si="8"/>
        <v>0</v>
      </c>
      <c r="I23" s="57">
        <f t="shared" si="8"/>
        <v>140113.5644432109</v>
      </c>
      <c r="J23" s="57">
        <f t="shared" si="8"/>
        <v>136360.52253848204</v>
      </c>
      <c r="K23" s="57">
        <f t="shared" si="8"/>
        <v>132708.00854191554</v>
      </c>
      <c r="L23" s="57">
        <f t="shared" si="8"/>
        <v>124662.58452676122</v>
      </c>
      <c r="M23" s="57">
        <f t="shared" si="8"/>
        <v>111305.87904175106</v>
      </c>
      <c r="N23" s="57">
        <f t="shared" si="8"/>
        <v>99380.249144420581</v>
      </c>
      <c r="O23" s="57">
        <f t="shared" si="8"/>
        <v>88732.365307518397</v>
      </c>
      <c r="P23" s="57">
        <f t="shared" si="8"/>
        <v>79225.32616742712</v>
      </c>
      <c r="Q23" s="57">
        <f t="shared" si="8"/>
        <v>70736.898363774206</v>
      </c>
      <c r="R23" s="57">
        <f t="shared" si="8"/>
        <v>63157.944967655538</v>
      </c>
      <c r="S23" s="57">
        <f t="shared" si="8"/>
        <v>56391.022292549576</v>
      </c>
      <c r="T23" s="57">
        <f t="shared" si="8"/>
        <v>50349.127046919268</v>
      </c>
      <c r="U23" s="57">
        <f t="shared" si="8"/>
        <v>44954.577720463625</v>
      </c>
      <c r="V23" s="57">
        <f t="shared" si="8"/>
        <v>40138.01582184252</v>
      </c>
      <c r="W23" s="57">
        <f t="shared" si="8"/>
        <v>35837.514126645103</v>
      </c>
      <c r="X23" s="57">
        <f t="shared" si="8"/>
        <v>31997.78047021884</v>
      </c>
      <c r="Y23" s="57">
        <f t="shared" si="8"/>
        <v>28569.446848409676</v>
      </c>
      <c r="Z23" s="57">
        <f t="shared" si="8"/>
        <v>25508.434686080072</v>
      </c>
      <c r="AA23" s="57">
        <f t="shared" si="8"/>
        <v>22775.388112571491</v>
      </c>
      <c r="AB23" s="57">
        <f t="shared" si="8"/>
        <v>20335.167957653113</v>
      </c>
      <c r="AC23" s="57">
        <f t="shared" si="8"/>
        <v>18156.39996219028</v>
      </c>
      <c r="AD23" s="57">
        <f t="shared" si="8"/>
        <v>16211.071394812747</v>
      </c>
      <c r="AE23" s="57">
        <f t="shared" si="8"/>
        <v>14474.170888225668</v>
      </c>
      <c r="AF23" s="57">
        <f t="shared" si="8"/>
        <v>12923.366864487201</v>
      </c>
      <c r="AG23" s="57">
        <f t="shared" si="8"/>
        <v>11538.720414720714</v>
      </c>
      <c r="AH23" s="82"/>
    </row>
    <row r="24" spans="1:34" x14ac:dyDescent="0.55000000000000004">
      <c r="B24" s="20" t="s">
        <v>40</v>
      </c>
      <c r="C24" s="57">
        <f t="shared" si="4"/>
        <v>138865.40507667349</v>
      </c>
      <c r="D24" s="57">
        <f>D10*D$14</f>
        <v>0</v>
      </c>
      <c r="E24" s="57">
        <f t="shared" ref="E24:AG24" si="9">E10*E$14</f>
        <v>0</v>
      </c>
      <c r="F24" s="57">
        <f t="shared" si="9"/>
        <v>0</v>
      </c>
      <c r="G24" s="57">
        <f t="shared" si="9"/>
        <v>0</v>
      </c>
      <c r="H24" s="57">
        <f t="shared" si="9"/>
        <v>0</v>
      </c>
      <c r="I24" s="57">
        <f t="shared" si="9"/>
        <v>13177.347132159111</v>
      </c>
      <c r="J24" s="57">
        <f t="shared" si="9"/>
        <v>12824.382476833422</v>
      </c>
      <c r="K24" s="57">
        <f t="shared" si="9"/>
        <v>12480.87223191824</v>
      </c>
      <c r="L24" s="57">
        <f t="shared" si="9"/>
        <v>11724.219259064441</v>
      </c>
      <c r="M24" s="57">
        <f t="shared" si="9"/>
        <v>10468.052909878963</v>
      </c>
      <c r="N24" s="57">
        <f t="shared" si="9"/>
        <v>9346.475812391931</v>
      </c>
      <c r="O24" s="57">
        <f t="shared" si="9"/>
        <v>8345.0676896356545</v>
      </c>
      <c r="P24" s="57">
        <f t="shared" si="9"/>
        <v>7450.9532943175454</v>
      </c>
      <c r="Q24" s="57">
        <f t="shared" si="9"/>
        <v>6652.6368699263794</v>
      </c>
      <c r="R24" s="57">
        <f t="shared" si="9"/>
        <v>5939.8543481485531</v>
      </c>
      <c r="S24" s="57">
        <f t="shared" si="9"/>
        <v>5303.4413822754932</v>
      </c>
      <c r="T24" s="57">
        <f t="shared" si="9"/>
        <v>4735.2155198888331</v>
      </c>
      <c r="U24" s="57">
        <f t="shared" si="9"/>
        <v>4227.8709999007433</v>
      </c>
      <c r="V24" s="57">
        <f t="shared" si="9"/>
        <v>3774.8848213399492</v>
      </c>
      <c r="W24" s="57">
        <f t="shared" si="9"/>
        <v>3370.4328761963829</v>
      </c>
      <c r="X24" s="57">
        <f t="shared" si="9"/>
        <v>3009.3150680324848</v>
      </c>
      <c r="Y24" s="57">
        <f t="shared" si="9"/>
        <v>2686.8884536004325</v>
      </c>
      <c r="Z24" s="57">
        <f t="shared" si="9"/>
        <v>2399.0075478575295</v>
      </c>
      <c r="AA24" s="57">
        <f t="shared" si="9"/>
        <v>2141.9710248727938</v>
      </c>
      <c r="AB24" s="57">
        <f t="shared" si="9"/>
        <v>1912.4741293507084</v>
      </c>
      <c r="AC24" s="57">
        <f t="shared" si="9"/>
        <v>1707.5661869202754</v>
      </c>
      <c r="AD24" s="57">
        <f t="shared" si="9"/>
        <v>1524.6126668931029</v>
      </c>
      <c r="AE24" s="57">
        <f t="shared" si="9"/>
        <v>1361.2613097259848</v>
      </c>
      <c r="AF24" s="57">
        <f t="shared" si="9"/>
        <v>1215.4118836839148</v>
      </c>
      <c r="AG24" s="57">
        <f t="shared" si="9"/>
        <v>1085.189181860638</v>
      </c>
      <c r="AH24" s="57"/>
    </row>
    <row r="25" spans="1:34" x14ac:dyDescent="0.55000000000000004">
      <c r="B25" s="20" t="s">
        <v>146</v>
      </c>
      <c r="C25" s="57">
        <f t="shared" si="4"/>
        <v>410.53163662793452</v>
      </c>
      <c r="D25" s="57">
        <f>D11*D$14</f>
        <v>0</v>
      </c>
      <c r="E25" s="57">
        <f t="shared" ref="E25:AG25" si="10">E11*E$14</f>
        <v>0</v>
      </c>
      <c r="F25" s="57">
        <f t="shared" si="10"/>
        <v>0</v>
      </c>
      <c r="G25" s="57">
        <f t="shared" si="10"/>
        <v>0</v>
      </c>
      <c r="H25" s="57">
        <f t="shared" si="10"/>
        <v>0</v>
      </c>
      <c r="I25" s="57">
        <f t="shared" si="10"/>
        <v>38.956555677728105</v>
      </c>
      <c r="J25" s="57">
        <f t="shared" si="10"/>
        <v>37.913076507788965</v>
      </c>
      <c r="K25" s="57">
        <f t="shared" si="10"/>
        <v>36.897547672758897</v>
      </c>
      <c r="L25" s="57">
        <f t="shared" si="10"/>
        <v>34.660633567812816</v>
      </c>
      <c r="M25" s="57">
        <f t="shared" si="10"/>
        <v>30.946994256975724</v>
      </c>
      <c r="N25" s="57">
        <f t="shared" si="10"/>
        <v>27.631244872299749</v>
      </c>
      <c r="O25" s="57">
        <f t="shared" si="10"/>
        <v>24.670754350267639</v>
      </c>
      <c r="P25" s="57">
        <f t="shared" si="10"/>
        <v>22.027459241310385</v>
      </c>
      <c r="Q25" s="57">
        <f t="shared" si="10"/>
        <v>19.667374322598555</v>
      </c>
      <c r="R25" s="57">
        <f t="shared" si="10"/>
        <v>17.560155645177282</v>
      </c>
      <c r="S25" s="57">
        <f t="shared" si="10"/>
        <v>15.678710397479714</v>
      </c>
      <c r="T25" s="57">
        <f t="shared" si="10"/>
        <v>13.998848569178316</v>
      </c>
      <c r="U25" s="57">
        <f t="shared" si="10"/>
        <v>12.498971936766353</v>
      </c>
      <c r="V25" s="57">
        <f t="shared" si="10"/>
        <v>11.159796372112814</v>
      </c>
      <c r="W25" s="57">
        <f t="shared" si="10"/>
        <v>9.9641039036721555</v>
      </c>
      <c r="X25" s="57">
        <f t="shared" si="10"/>
        <v>8.896521342564423</v>
      </c>
      <c r="Y25" s="57">
        <f t="shared" si="10"/>
        <v>7.9433226272896622</v>
      </c>
      <c r="Z25" s="57">
        <f t="shared" si="10"/>
        <v>7.0922523457943427</v>
      </c>
      <c r="AA25" s="57">
        <f t="shared" si="10"/>
        <v>6.3323681658878046</v>
      </c>
      <c r="AB25" s="57">
        <f t="shared" si="10"/>
        <v>5.6539001481141105</v>
      </c>
      <c r="AC25" s="57">
        <f t="shared" si="10"/>
        <v>5.048125132244742</v>
      </c>
      <c r="AD25" s="57">
        <f t="shared" si="10"/>
        <v>4.5072545823613757</v>
      </c>
      <c r="AE25" s="57">
        <f t="shared" si="10"/>
        <v>4.0243344485369432</v>
      </c>
      <c r="AF25" s="57">
        <f t="shared" si="10"/>
        <v>3.5931557576222701</v>
      </c>
      <c r="AG25" s="57">
        <f t="shared" si="10"/>
        <v>3.2081747835913119</v>
      </c>
      <c r="AH25" s="57"/>
    </row>
    <row r="26" spans="1:34" x14ac:dyDescent="0.55000000000000004">
      <c r="B26" s="22" t="s">
        <v>3</v>
      </c>
      <c r="C26" s="59">
        <f>SUM(D26:AG26)</f>
        <v>153295.07628453997</v>
      </c>
      <c r="D26" s="51">
        <f>D12*D$14</f>
        <v>-954.91250116948868</v>
      </c>
      <c r="E26" s="51">
        <f t="shared" ref="E26:AF26" si="11">E12*E$14</f>
        <v>-55890.83885442395</v>
      </c>
      <c r="F26" s="51">
        <f t="shared" si="11"/>
        <v>-55491.492067906329</v>
      </c>
      <c r="G26" s="51">
        <f t="shared" si="11"/>
        <v>-29739.453528534148</v>
      </c>
      <c r="H26" s="51">
        <f t="shared" si="11"/>
        <v>-697.26120973254706</v>
      </c>
      <c r="I26" s="51">
        <f t="shared" si="11"/>
        <v>28093.567884686436</v>
      </c>
      <c r="J26" s="51">
        <f t="shared" si="11"/>
        <v>27341.061602060876</v>
      </c>
      <c r="K26" s="51">
        <f t="shared" si="11"/>
        <v>26608.711737719943</v>
      </c>
      <c r="L26" s="51">
        <f t="shared" si="11"/>
        <v>24995.558388656216</v>
      </c>
      <c r="M26" s="51">
        <f t="shared" si="11"/>
        <v>22317.462847014474</v>
      </c>
      <c r="N26" s="51">
        <f t="shared" si="11"/>
        <v>19926.306113405779</v>
      </c>
      <c r="O26" s="51">
        <f t="shared" si="11"/>
        <v>17791.344744112306</v>
      </c>
      <c r="P26" s="51">
        <f t="shared" si="11"/>
        <v>15885.129235814553</v>
      </c>
      <c r="Q26" s="51">
        <f t="shared" si="11"/>
        <v>14183.151103405849</v>
      </c>
      <c r="R26" s="51">
        <f t="shared" si="11"/>
        <v>12663.527770898081</v>
      </c>
      <c r="S26" s="51">
        <f t="shared" si="11"/>
        <v>11306.721224016141</v>
      </c>
      <c r="T26" s="51">
        <f t="shared" si="11"/>
        <v>10095.28680715727</v>
      </c>
      <c r="U26" s="51">
        <f t="shared" si="11"/>
        <v>9013.648934961846</v>
      </c>
      <c r="V26" s="51">
        <f t="shared" si="11"/>
        <v>8047.9008347873623</v>
      </c>
      <c r="W26" s="51">
        <f t="shared" si="11"/>
        <v>7185.6257453458593</v>
      </c>
      <c r="X26" s="51">
        <f t="shared" si="11"/>
        <v>6415.737272630231</v>
      </c>
      <c r="Y26" s="51">
        <f t="shared" si="11"/>
        <v>5728.3368505627059</v>
      </c>
      <c r="Z26" s="51">
        <f t="shared" si="11"/>
        <v>5114.5864737167021</v>
      </c>
      <c r="AA26" s="51">
        <f t="shared" si="11"/>
        <v>4566.5950658184829</v>
      </c>
      <c r="AB26" s="51">
        <f t="shared" si="11"/>
        <v>4077.3170230522169</v>
      </c>
      <c r="AC26" s="51">
        <f t="shared" si="11"/>
        <v>3640.4616277251935</v>
      </c>
      <c r="AD26" s="51">
        <f t="shared" si="11"/>
        <v>3250.4121676117793</v>
      </c>
      <c r="AE26" s="51">
        <f t="shared" si="11"/>
        <v>2902.1537210819461</v>
      </c>
      <c r="AF26" s="51">
        <f t="shared" si="11"/>
        <v>2591.2086795374516</v>
      </c>
      <c r="AG26" s="51">
        <f>AG12*AG$14</f>
        <v>2327.2205905267524</v>
      </c>
      <c r="AH26" s="51"/>
    </row>
    <row r="28" spans="1:34" ht="20" x14ac:dyDescent="0.6">
      <c r="B28" s="109" t="s">
        <v>43</v>
      </c>
      <c r="C28" s="110">
        <f>NPV('1.Params_8.Sensitivity'!D13,'7a.EAnalysis'!D12:AG12)</f>
        <v>153295.07628453986</v>
      </c>
      <c r="D28" s="140" t="s">
        <v>114</v>
      </c>
      <c r="E28" s="55">
        <f>C22-C18</f>
        <v>153295.07628453989</v>
      </c>
    </row>
    <row r="29" spans="1:34" ht="20" x14ac:dyDescent="0.6">
      <c r="B29" s="109" t="s">
        <v>45</v>
      </c>
      <c r="C29" s="112">
        <f>NPV('1.Params_8.Sensitivity'!D13,'7a.EAnalysis'!D8:AG8)/NPV('1.Params_8.Sensitivity'!D13,'7a.EAnalysis'!D4:AF4, (AG4+AH7))</f>
        <v>1.1048153968834209</v>
      </c>
      <c r="E29" s="88">
        <f>C22/C18</f>
        <v>1.1048153968834211</v>
      </c>
    </row>
    <row r="30" spans="1:34" ht="20" x14ac:dyDescent="0.6">
      <c r="B30" s="109" t="s">
        <v>44</v>
      </c>
      <c r="C30" s="111">
        <f>IFERROR(IRR(D12:AG12), "        n/a")</f>
        <v>0.21466065145332647</v>
      </c>
    </row>
  </sheetData>
  <sheetProtection algorithmName="SHA-512" hashValue="5YwJV9DYYzEJlF9YjyZh4H7pAw/lYVgZ+QxnprWFOjVgEOMKvWgp2EZjUV2FXvfr5CZ8jnNfGdWwOtFOJUdACw==" saltValue="dhkiIJsFRiflgtiT74Xp1Q==" spinCount="100000" sheet="1" objects="1" scenarios="1" autoFilter="0"/>
  <mergeCells count="8">
    <mergeCell ref="AH2:AH3"/>
    <mergeCell ref="AH16:AH17"/>
    <mergeCell ref="B2:B3"/>
    <mergeCell ref="C2:C3"/>
    <mergeCell ref="D2:AG2"/>
    <mergeCell ref="B16:B17"/>
    <mergeCell ref="C16:C17"/>
    <mergeCell ref="D16:AG16"/>
  </mergeCells>
  <phoneticPr fontId="4"/>
  <pageMargins left="0.7" right="0.7" top="0.75" bottom="0.75" header="0.3" footer="0.3"/>
  <pageSetup paperSize="9" orientation="portrait"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5CD48-EF3D-419B-BA0D-FD098A45F06A}">
  <sheetPr codeName="Sheet11">
    <tabColor theme="5" tint="0.59999389629810485"/>
  </sheetPr>
  <dimension ref="A1:Z39"/>
  <sheetViews>
    <sheetView zoomScale="70" zoomScaleNormal="70" workbookViewId="0">
      <pane xSplit="1" ySplit="1" topLeftCell="B2" activePane="bottomRight" state="frozen"/>
      <selection activeCell="B21" sqref="B21"/>
      <selection pane="topRight" activeCell="B21" sqref="B21"/>
      <selection pane="bottomLeft" activeCell="B21" sqref="B21"/>
      <selection pane="bottomRight" activeCell="B21" sqref="B21"/>
    </sheetView>
  </sheetViews>
  <sheetFormatPr defaultRowHeight="18" x14ac:dyDescent="0.55000000000000004"/>
  <cols>
    <col min="1" max="1" width="2.58203125" customWidth="1"/>
    <col min="2" max="2" width="6.58203125" customWidth="1"/>
    <col min="3" max="3" width="4.58203125" customWidth="1"/>
    <col min="4" max="12" width="12.75" customWidth="1"/>
    <col min="13" max="13" width="1.58203125" customWidth="1"/>
    <col min="14" max="14" width="12.75" customWidth="1"/>
    <col min="15" max="15" width="1.58203125" customWidth="1"/>
    <col min="16" max="16" width="6.58203125" customWidth="1"/>
    <col min="17" max="17" width="4.58203125" customWidth="1"/>
    <col min="18" max="26" width="12.75" customWidth="1"/>
  </cols>
  <sheetData>
    <row r="1" spans="1:26" s="3" customFormat="1" ht="20" x14ac:dyDescent="0.6">
      <c r="A1" s="5" t="str">
        <f>"Cash Flows of Economic Costs and Benefits ("&amp;MID('0.Contents'!A1,20,(LEN('0.Contents'!A1)-20))&amp;")----Vertical format"</f>
        <v>Cash Flows of Economic Costs and Benefits (Power Distribution)----Vertical format</v>
      </c>
    </row>
    <row r="2" spans="1:26" x14ac:dyDescent="0.55000000000000004">
      <c r="B2" s="402" t="str">
        <f>'7a.EAnalysis'!B2</f>
        <v>At Constant Prices/Before Discounting (lakh)</v>
      </c>
      <c r="C2" s="402"/>
      <c r="D2" s="402"/>
      <c r="E2" s="402"/>
      <c r="F2" s="402"/>
      <c r="G2" s="402"/>
      <c r="H2" s="402"/>
      <c r="I2" s="402"/>
      <c r="J2" s="402"/>
      <c r="K2" s="402"/>
      <c r="L2" s="402"/>
      <c r="M2" s="248"/>
      <c r="N2" s="248"/>
      <c r="O2" s="248"/>
      <c r="P2" s="402" t="str">
        <f>'7a.EAnalysis'!B16</f>
        <v>Present Values (lakh)</v>
      </c>
      <c r="Q2" s="402"/>
      <c r="R2" s="402"/>
      <c r="S2" s="402"/>
      <c r="T2" s="402"/>
      <c r="U2" s="402"/>
      <c r="V2" s="402"/>
      <c r="W2" s="402"/>
      <c r="X2" s="402"/>
      <c r="Y2" s="402"/>
      <c r="Z2" s="402"/>
    </row>
    <row r="3" spans="1:26" s="228" customFormat="1" ht="90" x14ac:dyDescent="0.55000000000000004">
      <c r="B3" s="244"/>
      <c r="C3" s="244"/>
      <c r="D3" s="232" t="s">
        <v>1</v>
      </c>
      <c r="E3" s="233" t="s">
        <v>182</v>
      </c>
      <c r="F3" s="233" t="s">
        <v>183</v>
      </c>
      <c r="G3" s="233" t="s">
        <v>184</v>
      </c>
      <c r="H3" s="232" t="s">
        <v>2</v>
      </c>
      <c r="I3" s="233" t="s">
        <v>193</v>
      </c>
      <c r="J3" s="233" t="s">
        <v>40</v>
      </c>
      <c r="K3" s="233" t="s">
        <v>146</v>
      </c>
      <c r="L3" s="232" t="s">
        <v>3</v>
      </c>
      <c r="M3" s="234"/>
      <c r="N3" s="235" t="str">
        <f>'7a.EAnalysis'!B14</f>
        <v>Economic Discount Rate (12%)</v>
      </c>
      <c r="O3" s="234"/>
      <c r="P3" s="244"/>
      <c r="Q3" s="244"/>
      <c r="R3" s="232" t="s">
        <v>1</v>
      </c>
      <c r="S3" s="233" t="s">
        <v>182</v>
      </c>
      <c r="T3" s="233" t="s">
        <v>183</v>
      </c>
      <c r="U3" s="233" t="s">
        <v>184</v>
      </c>
      <c r="V3" s="232" t="s">
        <v>2</v>
      </c>
      <c r="W3" s="233" t="s">
        <v>145</v>
      </c>
      <c r="X3" s="233" t="s">
        <v>40</v>
      </c>
      <c r="Y3" s="233" t="s">
        <v>146</v>
      </c>
      <c r="Z3" s="232" t="s">
        <v>3</v>
      </c>
    </row>
    <row r="4" spans="1:26" x14ac:dyDescent="0.55000000000000004">
      <c r="B4" s="409" t="s">
        <v>24</v>
      </c>
      <c r="C4" s="409"/>
      <c r="D4" s="63">
        <f>'7a.EAnalysis'!C$4</f>
        <v>7804925.6032598438</v>
      </c>
      <c r="E4" s="54">
        <f>'7a.EAnalysis'!C$5</f>
        <v>197164.93960523768</v>
      </c>
      <c r="F4" s="54">
        <f>'7a.EAnalysis'!C$6</f>
        <v>7608169.3593067797</v>
      </c>
      <c r="G4" s="54">
        <f>'7a.EAnalysis'!C$7</f>
        <v>-408.69565217391306</v>
      </c>
      <c r="H4" s="63">
        <f>'7a.EAnalysis'!C$8</f>
        <v>9314867.9918391351</v>
      </c>
      <c r="I4" s="54">
        <f>'7a.EAnalysis'!C$9</f>
        <v>8511970.7762292009</v>
      </c>
      <c r="J4" s="54">
        <f>'7a.EAnalysis'!C$10</f>
        <v>800530.5849072698</v>
      </c>
      <c r="K4" s="54">
        <f>'7a.EAnalysis'!C$11</f>
        <v>2366.6307026666659</v>
      </c>
      <c r="L4" s="63">
        <f>'7a.EAnalysis'!C$12</f>
        <v>1509942.3885792897</v>
      </c>
      <c r="M4" s="63"/>
      <c r="N4" s="251" t="str">
        <f>'7a.EAnalysis'!C$14</f>
        <v>DF</v>
      </c>
      <c r="O4" s="63"/>
      <c r="P4" s="409" t="s">
        <v>24</v>
      </c>
      <c r="Q4" s="409"/>
      <c r="R4" s="63">
        <f>'7a.EAnalysis'!C$18</f>
        <v>1462524.4080794675</v>
      </c>
      <c r="S4" s="54">
        <f>'7a.EAnalysis'!C$19</f>
        <v>142773.95816176647</v>
      </c>
      <c r="T4" s="54">
        <f>'7a.EAnalysis'!C$20</f>
        <v>1319764.0913300694</v>
      </c>
      <c r="U4" s="54">
        <f>'7a.EAnalysis'!C$21</f>
        <v>-13.641412368313722</v>
      </c>
      <c r="V4" s="63">
        <f>'7a.EAnalysis'!C$22</f>
        <v>1615819.4843640074</v>
      </c>
      <c r="W4" s="54">
        <f>'7a.EAnalysis'!C$23</f>
        <v>1476543.5476507067</v>
      </c>
      <c r="X4" s="54">
        <f>'7a.EAnalysis'!C$24</f>
        <v>138865.40507667349</v>
      </c>
      <c r="Y4" s="54">
        <f>'7a.EAnalysis'!C$25</f>
        <v>410.53163662793452</v>
      </c>
      <c r="Z4" s="63">
        <f>'7a.EAnalysis'!C$26</f>
        <v>153295.07628453997</v>
      </c>
    </row>
    <row r="5" spans="1:26" x14ac:dyDescent="0.55000000000000004">
      <c r="B5" s="406" t="s">
        <v>0</v>
      </c>
      <c r="C5" s="243">
        <v>1</v>
      </c>
      <c r="D5" s="82">
        <f>'7a.EAnalysis'!D$4</f>
        <v>1069.5020013098274</v>
      </c>
      <c r="E5" s="350">
        <f>'7a.EAnalysis'!D$5</f>
        <v>1069.5020013098274</v>
      </c>
      <c r="F5" s="55">
        <f>'7a.EAnalysis'!D$6</f>
        <v>0</v>
      </c>
      <c r="G5" s="311" t="s">
        <v>31</v>
      </c>
      <c r="H5" s="82">
        <f>'7a.EAnalysis'!D$8</f>
        <v>0</v>
      </c>
      <c r="I5" s="57">
        <f>'7a.EAnalysis'!D$9</f>
        <v>0</v>
      </c>
      <c r="J5" s="57">
        <f>'7a.EAnalysis'!D$10</f>
        <v>0</v>
      </c>
      <c r="K5" s="57">
        <f>'7a.EAnalysis'!D$11</f>
        <v>0</v>
      </c>
      <c r="L5" s="82">
        <f>'7a.EAnalysis'!D$12</f>
        <v>-1069.5020013098274</v>
      </c>
      <c r="M5" s="82"/>
      <c r="N5" s="252">
        <f>'7a.EAnalysis'!D$14</f>
        <v>0.89285714285714279</v>
      </c>
      <c r="O5" s="82"/>
      <c r="P5" s="406" t="s">
        <v>0</v>
      </c>
      <c r="Q5" s="243">
        <v>1</v>
      </c>
      <c r="R5" s="82">
        <f>'7a.EAnalysis'!D$18</f>
        <v>954.91250116948868</v>
      </c>
      <c r="S5" s="57">
        <f>'7a.EAnalysis'!D$19</f>
        <v>954.91250116948868</v>
      </c>
      <c r="T5" s="57">
        <f>'7a.EAnalysis'!D$20</f>
        <v>0</v>
      </c>
      <c r="U5" s="311" t="s">
        <v>31</v>
      </c>
      <c r="V5" s="82">
        <f>'7a.EAnalysis'!D$22</f>
        <v>0</v>
      </c>
      <c r="W5" s="57">
        <f>'7a.EAnalysis'!D$23</f>
        <v>0</v>
      </c>
      <c r="X5" s="57">
        <f>'7a.EAnalysis'!D$24</f>
        <v>0</v>
      </c>
      <c r="Y5" s="57">
        <f>'7a.EAnalysis'!D$25</f>
        <v>0</v>
      </c>
      <c r="Z5" s="82">
        <f>'7a.EAnalysis'!D$26</f>
        <v>-954.91250116948868</v>
      </c>
    </row>
    <row r="6" spans="1:26" x14ac:dyDescent="0.55000000000000004">
      <c r="B6" s="407"/>
      <c r="C6" s="243">
        <v>2</v>
      </c>
      <c r="D6" s="82">
        <f>'7a.EAnalysis'!E$4</f>
        <v>70109.468258989407</v>
      </c>
      <c r="E6" s="211">
        <f>'7a.EAnalysis'!E$5</f>
        <v>70109.468258989407</v>
      </c>
      <c r="F6" s="55">
        <f>'7a.EAnalysis'!E$6</f>
        <v>0</v>
      </c>
      <c r="G6" s="311" t="s">
        <v>31</v>
      </c>
      <c r="H6" s="82">
        <f>'7a.EAnalysis'!E$8</f>
        <v>0</v>
      </c>
      <c r="I6" s="57">
        <f>'7a.EAnalysis'!E$9</f>
        <v>0</v>
      </c>
      <c r="J6" s="57">
        <f>'7a.EAnalysis'!E$10</f>
        <v>0</v>
      </c>
      <c r="K6" s="57">
        <f>'7a.EAnalysis'!E$11</f>
        <v>0</v>
      </c>
      <c r="L6" s="82">
        <f>'7a.EAnalysis'!E$12</f>
        <v>-70109.468258989407</v>
      </c>
      <c r="M6" s="82"/>
      <c r="N6" s="253">
        <f>'7a.EAnalysis'!E$14</f>
        <v>0.79719387755102034</v>
      </c>
      <c r="O6" s="82"/>
      <c r="P6" s="407"/>
      <c r="Q6" s="243">
        <v>2</v>
      </c>
      <c r="R6" s="82">
        <f>'7a.EAnalysis'!E$18</f>
        <v>55890.83885442395</v>
      </c>
      <c r="S6" s="57">
        <f>'7a.EAnalysis'!E$19</f>
        <v>55890.83885442395</v>
      </c>
      <c r="T6" s="57">
        <f>'7a.EAnalysis'!E$20</f>
        <v>0</v>
      </c>
      <c r="U6" s="311" t="s">
        <v>31</v>
      </c>
      <c r="V6" s="82">
        <f>'7a.EAnalysis'!E$22</f>
        <v>0</v>
      </c>
      <c r="W6" s="57">
        <f>'7a.EAnalysis'!E$23</f>
        <v>0</v>
      </c>
      <c r="X6" s="57">
        <f>'7a.EAnalysis'!E$24</f>
        <v>0</v>
      </c>
      <c r="Y6" s="57">
        <f>'7a.EAnalysis'!E$25</f>
        <v>0</v>
      </c>
      <c r="Z6" s="82">
        <f>'7a.EAnalysis'!E$26</f>
        <v>-55890.83885442395</v>
      </c>
    </row>
    <row r="7" spans="1:26" x14ac:dyDescent="0.55000000000000004">
      <c r="B7" s="407"/>
      <c r="C7" s="243">
        <v>3</v>
      </c>
      <c r="D7" s="82">
        <f>'7a.EAnalysis'!F$4</f>
        <v>77961.550967979521</v>
      </c>
      <c r="E7" s="211">
        <f>'7a.EAnalysis'!F$5</f>
        <v>77961.550967979521</v>
      </c>
      <c r="F7" s="55">
        <f>'7a.EAnalysis'!F$6</f>
        <v>0</v>
      </c>
      <c r="G7" s="311" t="s">
        <v>31</v>
      </c>
      <c r="H7" s="82">
        <f>'7a.EAnalysis'!F$8</f>
        <v>0</v>
      </c>
      <c r="I7" s="57">
        <f>'7a.EAnalysis'!F$9</f>
        <v>0</v>
      </c>
      <c r="J7" s="57">
        <f>'7a.EAnalysis'!F$10</f>
        <v>0</v>
      </c>
      <c r="K7" s="57">
        <f>'7a.EAnalysis'!F$11</f>
        <v>0</v>
      </c>
      <c r="L7" s="82">
        <f>'7a.EAnalysis'!F$12</f>
        <v>-77961.550967979521</v>
      </c>
      <c r="M7" s="82"/>
      <c r="N7" s="253">
        <f>'7a.EAnalysis'!F$14</f>
        <v>0.71178024781341087</v>
      </c>
      <c r="O7" s="82"/>
      <c r="P7" s="407"/>
      <c r="Q7" s="243">
        <v>3</v>
      </c>
      <c r="R7" s="82">
        <f>'7a.EAnalysis'!F$18</f>
        <v>55491.492067906329</v>
      </c>
      <c r="S7" s="57">
        <f>'7a.EAnalysis'!F$19</f>
        <v>55491.492067906329</v>
      </c>
      <c r="T7" s="57">
        <f>'7a.EAnalysis'!F$20</f>
        <v>0</v>
      </c>
      <c r="U7" s="311" t="s">
        <v>31</v>
      </c>
      <c r="V7" s="82">
        <f>'7a.EAnalysis'!F$22</f>
        <v>0</v>
      </c>
      <c r="W7" s="57">
        <f>'7a.EAnalysis'!F$23</f>
        <v>0</v>
      </c>
      <c r="X7" s="57">
        <f>'7a.EAnalysis'!F$24</f>
        <v>0</v>
      </c>
      <c r="Y7" s="57">
        <f>'7a.EAnalysis'!F$25</f>
        <v>0</v>
      </c>
      <c r="Z7" s="82">
        <f>'7a.EAnalysis'!F$26</f>
        <v>-55491.492067906329</v>
      </c>
    </row>
    <row r="8" spans="1:26" x14ac:dyDescent="0.55000000000000004">
      <c r="B8" s="407"/>
      <c r="C8" s="243">
        <v>4</v>
      </c>
      <c r="D8" s="82">
        <f>'7a.EAnalysis'!G$4</f>
        <v>46795.605882968805</v>
      </c>
      <c r="E8" s="211">
        <f>'7a.EAnalysis'!G$5</f>
        <v>46795.605882968805</v>
      </c>
      <c r="F8" s="55">
        <f>'7a.EAnalysis'!G$6</f>
        <v>0</v>
      </c>
      <c r="G8" s="311" t="s">
        <v>31</v>
      </c>
      <c r="H8" s="82">
        <f>'7a.EAnalysis'!G$8</f>
        <v>0</v>
      </c>
      <c r="I8" s="57">
        <f>'7a.EAnalysis'!G$9</f>
        <v>0</v>
      </c>
      <c r="J8" s="57">
        <f>'7a.EAnalysis'!G$10</f>
        <v>0</v>
      </c>
      <c r="K8" s="57">
        <f>'7a.EAnalysis'!G$11</f>
        <v>0</v>
      </c>
      <c r="L8" s="82">
        <f>'7a.EAnalysis'!G$12</f>
        <v>-46795.605882968805</v>
      </c>
      <c r="M8" s="82"/>
      <c r="N8" s="255">
        <f>'7a.EAnalysis'!G$14</f>
        <v>0.63551807840483121</v>
      </c>
      <c r="O8" s="82"/>
      <c r="P8" s="407"/>
      <c r="Q8" s="243">
        <v>4</v>
      </c>
      <c r="R8" s="82">
        <f>'7a.EAnalysis'!G$18</f>
        <v>29739.453528534148</v>
      </c>
      <c r="S8" s="57">
        <f>'7a.EAnalysis'!G$19</f>
        <v>29739.453528534148</v>
      </c>
      <c r="T8" s="57">
        <f>'7a.EAnalysis'!G$20</f>
        <v>0</v>
      </c>
      <c r="U8" s="311" t="s">
        <v>31</v>
      </c>
      <c r="V8" s="82">
        <f>'7a.EAnalysis'!G$22</f>
        <v>0</v>
      </c>
      <c r="W8" s="57">
        <f>'7a.EAnalysis'!G$23</f>
        <v>0</v>
      </c>
      <c r="X8" s="57">
        <f>'7a.EAnalysis'!G$24</f>
        <v>0</v>
      </c>
      <c r="Y8" s="57">
        <f>'7a.EAnalysis'!G$25</f>
        <v>0</v>
      </c>
      <c r="Z8" s="82">
        <f>'7a.EAnalysis'!G$26</f>
        <v>-29739.453528534148</v>
      </c>
    </row>
    <row r="9" spans="1:26" x14ac:dyDescent="0.55000000000000004">
      <c r="B9" s="407"/>
      <c r="C9" s="243">
        <v>5</v>
      </c>
      <c r="D9" s="82">
        <f>'7a.EAnalysis'!H$4</f>
        <v>1228.8124939901256</v>
      </c>
      <c r="E9" s="211">
        <f>'7a.EAnalysis'!H$5</f>
        <v>1228.8124939901256</v>
      </c>
      <c r="F9" s="55">
        <f>'7a.EAnalysis'!H$6</f>
        <v>0</v>
      </c>
      <c r="G9" s="311" t="s">
        <v>31</v>
      </c>
      <c r="H9" s="82">
        <f>'7a.EAnalysis'!H$8</f>
        <v>0</v>
      </c>
      <c r="I9" s="57">
        <f>'7a.EAnalysis'!H$9</f>
        <v>0</v>
      </c>
      <c r="J9" s="57">
        <f>'7a.EAnalysis'!H$10</f>
        <v>0</v>
      </c>
      <c r="K9" s="57">
        <f>'7a.EAnalysis'!H$11</f>
        <v>0</v>
      </c>
      <c r="L9" s="82">
        <f>'7a.EAnalysis'!H$12</f>
        <v>-1228.8124939901256</v>
      </c>
      <c r="M9" s="82"/>
      <c r="N9" s="253">
        <f>'7a.EAnalysis'!H$14</f>
        <v>0.56742685571859919</v>
      </c>
      <c r="O9" s="82"/>
      <c r="P9" s="407"/>
      <c r="Q9" s="243">
        <v>5</v>
      </c>
      <c r="R9" s="82">
        <f>'7a.EAnalysis'!H$18</f>
        <v>697.26120973254706</v>
      </c>
      <c r="S9" s="57">
        <f>'7a.EAnalysis'!H$19</f>
        <v>697.26120973254706</v>
      </c>
      <c r="T9" s="57">
        <f>'7a.EAnalysis'!H$20</f>
        <v>0</v>
      </c>
      <c r="U9" s="311" t="s">
        <v>31</v>
      </c>
      <c r="V9" s="82">
        <f>'7a.EAnalysis'!H$22</f>
        <v>0</v>
      </c>
      <c r="W9" s="57">
        <f>'7a.EAnalysis'!H$23</f>
        <v>0</v>
      </c>
      <c r="X9" s="57">
        <f>'7a.EAnalysis'!H$24</f>
        <v>0</v>
      </c>
      <c r="Y9" s="57">
        <f>'7a.EAnalysis'!H$25</f>
        <v>0</v>
      </c>
      <c r="Z9" s="82">
        <f>'7a.EAnalysis'!H$26</f>
        <v>-697.26120973254706</v>
      </c>
    </row>
    <row r="10" spans="1:26" x14ac:dyDescent="0.55000000000000004">
      <c r="B10" s="407"/>
      <c r="C10" s="243">
        <v>6</v>
      </c>
      <c r="D10" s="82">
        <f>'7a.EAnalysis'!I$4</f>
        <v>247194.25043478259</v>
      </c>
      <c r="E10" s="313" t="str">
        <f>'7a.EAnalysis'!I$5</f>
        <v>--</v>
      </c>
      <c r="F10" s="212">
        <f>'7a.EAnalysis'!I$6</f>
        <v>247194.25043478259</v>
      </c>
      <c r="G10" s="311" t="s">
        <v>31</v>
      </c>
      <c r="H10" s="82">
        <f>'7a.EAnalysis'!I$8</f>
        <v>302645.97203333338</v>
      </c>
      <c r="I10" s="249">
        <f>'7a.EAnalysis'!I$9</f>
        <v>276559.33200000005</v>
      </c>
      <c r="J10" s="214">
        <f>'7a.EAnalysis'!I$10</f>
        <v>26009.746699999989</v>
      </c>
      <c r="K10" s="215">
        <f>'7a.EAnalysis'!I$11</f>
        <v>76.893333333333317</v>
      </c>
      <c r="L10" s="82">
        <f>'7a.EAnalysis'!I$12</f>
        <v>55451.721598550794</v>
      </c>
      <c r="M10" s="82"/>
      <c r="N10" s="253">
        <f>'7a.EAnalysis'!I$14</f>
        <v>0.50663112117732068</v>
      </c>
      <c r="O10" s="82"/>
      <c r="P10" s="407"/>
      <c r="Q10" s="243">
        <v>6</v>
      </c>
      <c r="R10" s="82">
        <f>'7a.EAnalysis'!I$18</f>
        <v>125236.30024636129</v>
      </c>
      <c r="S10" s="312" t="str">
        <f>'7a.EAnalysis'!I$19</f>
        <v>--</v>
      </c>
      <c r="T10" s="57">
        <f>'7a.EAnalysis'!I$20</f>
        <v>125236.30024636129</v>
      </c>
      <c r="U10" s="311" t="s">
        <v>31</v>
      </c>
      <c r="V10" s="82">
        <f>'7a.EAnalysis'!I$22</f>
        <v>153329.86813104773</v>
      </c>
      <c r="W10" s="57">
        <f>'7a.EAnalysis'!I$23</f>
        <v>140113.5644432109</v>
      </c>
      <c r="X10" s="57">
        <f>'7a.EAnalysis'!I$24</f>
        <v>13177.347132159111</v>
      </c>
      <c r="Y10" s="57">
        <f>'7a.EAnalysis'!I$25</f>
        <v>38.956555677728105</v>
      </c>
      <c r="Z10" s="82">
        <f>'7a.EAnalysis'!I$26</f>
        <v>28093.567884686436</v>
      </c>
    </row>
    <row r="11" spans="1:26" x14ac:dyDescent="0.55000000000000004">
      <c r="B11" s="407"/>
      <c r="C11" s="243">
        <v>7</v>
      </c>
      <c r="D11" s="82">
        <f>'7a.EAnalysis'!J$4</f>
        <v>269441.73297391308</v>
      </c>
      <c r="E11" s="313" t="str">
        <f>'7a.EAnalysis'!J$5</f>
        <v>--</v>
      </c>
      <c r="F11" s="212">
        <f>'7a.EAnalysis'!J$6</f>
        <v>269441.73297391308</v>
      </c>
      <c r="G11" s="311" t="s">
        <v>31</v>
      </c>
      <c r="H11" s="82">
        <f>'7a.EAnalysis'!J$8</f>
        <v>329884.10951633338</v>
      </c>
      <c r="I11" s="249">
        <f>'7a.EAnalysis'!J$9</f>
        <v>301449.6718800001</v>
      </c>
      <c r="J11" s="214">
        <f>'7a.EAnalysis'!J$10</f>
        <v>28350.623902999992</v>
      </c>
      <c r="K11" s="215">
        <f>'7a.EAnalysis'!J$11</f>
        <v>83.813733333333332</v>
      </c>
      <c r="L11" s="82">
        <f>'7a.EAnalysis'!J$12</f>
        <v>60442.376542420301</v>
      </c>
      <c r="M11" s="82"/>
      <c r="N11" s="253">
        <f>'7a.EAnalysis'!J$14</f>
        <v>0.45234921533689343</v>
      </c>
      <c r="O11" s="82"/>
      <c r="P11" s="407"/>
      <c r="Q11" s="243">
        <v>7</v>
      </c>
      <c r="R11" s="82">
        <f>'7a.EAnalysis'!J$18</f>
        <v>121881.75648976235</v>
      </c>
      <c r="S11" s="312" t="str">
        <f>'7a.EAnalysis'!J$19</f>
        <v>--</v>
      </c>
      <c r="T11" s="57">
        <f>'7a.EAnalysis'!J$20</f>
        <v>121881.75648976235</v>
      </c>
      <c r="U11" s="311" t="s">
        <v>31</v>
      </c>
      <c r="V11" s="82">
        <f>'7a.EAnalysis'!J$22</f>
        <v>149222.81809182322</v>
      </c>
      <c r="W11" s="57">
        <f>'7a.EAnalysis'!J$23</f>
        <v>136360.52253848204</v>
      </c>
      <c r="X11" s="57">
        <f>'7a.EAnalysis'!J$24</f>
        <v>12824.382476833422</v>
      </c>
      <c r="Y11" s="57">
        <f>'7a.EAnalysis'!J$25</f>
        <v>37.913076507788965</v>
      </c>
      <c r="Z11" s="82">
        <f>'7a.EAnalysis'!J$26</f>
        <v>27341.061602060876</v>
      </c>
    </row>
    <row r="12" spans="1:26" x14ac:dyDescent="0.55000000000000004">
      <c r="B12" s="407"/>
      <c r="C12" s="243">
        <v>8</v>
      </c>
      <c r="D12" s="82">
        <f>'7a.EAnalysis'!K$4</f>
        <v>293691.48894156527</v>
      </c>
      <c r="E12" s="313" t="str">
        <f>'7a.EAnalysis'!K$5</f>
        <v>--</v>
      </c>
      <c r="F12" s="212">
        <f>'7a.EAnalysis'!K$6</f>
        <v>293691.48894156527</v>
      </c>
      <c r="G12" s="311" t="s">
        <v>31</v>
      </c>
      <c r="H12" s="82">
        <f>'7a.EAnalysis'!K$8</f>
        <v>359573.67937280337</v>
      </c>
      <c r="I12" s="249">
        <f>'7a.EAnalysis'!K$9</f>
        <v>328580.14234920009</v>
      </c>
      <c r="J12" s="214">
        <f>'7a.EAnalysis'!K$10</f>
        <v>30902.180054269993</v>
      </c>
      <c r="K12" s="215">
        <f>'7a.EAnalysis'!K$11</f>
        <v>91.356969333333339</v>
      </c>
      <c r="L12" s="82">
        <f>'7a.EAnalysis'!K$12</f>
        <v>65882.190431238094</v>
      </c>
      <c r="M12" s="82"/>
      <c r="N12" s="253">
        <f>'7a.EAnalysis'!K$14</f>
        <v>0.4038832279793691</v>
      </c>
      <c r="O12" s="82"/>
      <c r="P12" s="407"/>
      <c r="Q12" s="243">
        <v>8</v>
      </c>
      <c r="R12" s="82">
        <f>'7a.EAnalysis'!K$18</f>
        <v>118617.06658378657</v>
      </c>
      <c r="S12" s="312" t="str">
        <f>'7a.EAnalysis'!K$19</f>
        <v>--</v>
      </c>
      <c r="T12" s="57">
        <f>'7a.EAnalysis'!K$20</f>
        <v>118617.06658378657</v>
      </c>
      <c r="U12" s="311" t="s">
        <v>31</v>
      </c>
      <c r="V12" s="82">
        <f>'7a.EAnalysis'!K$22</f>
        <v>145225.77832150651</v>
      </c>
      <c r="W12" s="57">
        <f>'7a.EAnalysis'!K$23</f>
        <v>132708.00854191554</v>
      </c>
      <c r="X12" s="57">
        <f>'7a.EAnalysis'!K$24</f>
        <v>12480.87223191824</v>
      </c>
      <c r="Y12" s="57">
        <f>'7a.EAnalysis'!K$25</f>
        <v>36.897547672758897</v>
      </c>
      <c r="Z12" s="82">
        <f>'7a.EAnalysis'!K$26</f>
        <v>26608.711737719943</v>
      </c>
    </row>
    <row r="13" spans="1:26" x14ac:dyDescent="0.55000000000000004">
      <c r="B13" s="407"/>
      <c r="C13" s="243">
        <v>9</v>
      </c>
      <c r="D13" s="82">
        <f>'7a.EAnalysis'!L$4</f>
        <v>308992.81304347824</v>
      </c>
      <c r="E13" s="313" t="str">
        <f>'7a.EAnalysis'!L$5</f>
        <v>--</v>
      </c>
      <c r="F13" s="212">
        <f>'7a.EAnalysis'!L$6</f>
        <v>308992.81304347824</v>
      </c>
      <c r="G13" s="311" t="s">
        <v>31</v>
      </c>
      <c r="H13" s="82">
        <f>'7a.EAnalysis'!L$8</f>
        <v>378307.46504166664</v>
      </c>
      <c r="I13" s="249">
        <f>'7a.EAnalysis'!L$9</f>
        <v>345699.16500000004</v>
      </c>
      <c r="J13" s="214">
        <f>'7a.EAnalysis'!L$10</f>
        <v>32512.183374999986</v>
      </c>
      <c r="K13" s="215">
        <f>'7a.EAnalysis'!L$11</f>
        <v>96.116666666666646</v>
      </c>
      <c r="L13" s="82">
        <f>'7a.EAnalysis'!L$12</f>
        <v>69314.651998188405</v>
      </c>
      <c r="M13" s="82"/>
      <c r="N13" s="253">
        <f>'7a.EAnalysis'!L$14</f>
        <v>0.36061002498157957</v>
      </c>
      <c r="O13" s="82"/>
      <c r="P13" s="407"/>
      <c r="Q13" s="243">
        <v>9</v>
      </c>
      <c r="R13" s="82">
        <f>'7a.EAnalysis'!L$18</f>
        <v>111425.90603073723</v>
      </c>
      <c r="S13" s="312" t="str">
        <f>'7a.EAnalysis'!L$19</f>
        <v>--</v>
      </c>
      <c r="T13" s="57">
        <f>'7a.EAnalysis'!L$20</f>
        <v>111425.90603073723</v>
      </c>
      <c r="U13" s="311" t="s">
        <v>31</v>
      </c>
      <c r="V13" s="82">
        <f>'7a.EAnalysis'!L$22</f>
        <v>136421.46441939345</v>
      </c>
      <c r="W13" s="57">
        <f>'7a.EAnalysis'!L$23</f>
        <v>124662.58452676122</v>
      </c>
      <c r="X13" s="57">
        <f>'7a.EAnalysis'!L$24</f>
        <v>11724.219259064441</v>
      </c>
      <c r="Y13" s="57">
        <f>'7a.EAnalysis'!L$25</f>
        <v>34.660633567812816</v>
      </c>
      <c r="Z13" s="82">
        <f>'7a.EAnalysis'!L$26</f>
        <v>24995.558388656216</v>
      </c>
    </row>
    <row r="14" spans="1:26" x14ac:dyDescent="0.55000000000000004">
      <c r="B14" s="407"/>
      <c r="C14" s="243">
        <v>10</v>
      </c>
      <c r="D14" s="82">
        <f>'7a.EAnalysis'!M$4</f>
        <v>308992.81304347824</v>
      </c>
      <c r="E14" s="313" t="str">
        <f>'7a.EAnalysis'!M$5</f>
        <v>--</v>
      </c>
      <c r="F14" s="212">
        <f>'7a.EAnalysis'!M$6</f>
        <v>308992.81304347824</v>
      </c>
      <c r="G14" s="311" t="s">
        <v>31</v>
      </c>
      <c r="H14" s="82">
        <f>'7a.EAnalysis'!M$8</f>
        <v>378307.46504166664</v>
      </c>
      <c r="I14" s="249">
        <f>'7a.EAnalysis'!M$9</f>
        <v>345699.16500000004</v>
      </c>
      <c r="J14" s="214">
        <f>'7a.EAnalysis'!M$10</f>
        <v>32512.183374999986</v>
      </c>
      <c r="K14" s="215">
        <f>'7a.EAnalysis'!M$11</f>
        <v>96.116666666666646</v>
      </c>
      <c r="L14" s="82">
        <f>'7a.EAnalysis'!M$12</f>
        <v>69314.651998188405</v>
      </c>
      <c r="M14" s="82"/>
      <c r="N14" s="253">
        <f>'7a.EAnalysis'!M$14</f>
        <v>0.32197323659069599</v>
      </c>
      <c r="O14" s="82"/>
      <c r="P14" s="407"/>
      <c r="Q14" s="243">
        <v>10</v>
      </c>
      <c r="R14" s="82">
        <f>'7a.EAnalysis'!M$18</f>
        <v>99487.416098872505</v>
      </c>
      <c r="S14" s="312" t="str">
        <f>'7a.EAnalysis'!M$19</f>
        <v>--</v>
      </c>
      <c r="T14" s="57">
        <f>'7a.EAnalysis'!M$20</f>
        <v>99487.416098872505</v>
      </c>
      <c r="U14" s="311" t="s">
        <v>31</v>
      </c>
      <c r="V14" s="82">
        <f>'7a.EAnalysis'!M$22</f>
        <v>121804.87894588699</v>
      </c>
      <c r="W14" s="57">
        <f>'7a.EAnalysis'!M$23</f>
        <v>111305.87904175106</v>
      </c>
      <c r="X14" s="57">
        <f>'7a.EAnalysis'!M$24</f>
        <v>10468.052909878963</v>
      </c>
      <c r="Y14" s="57">
        <f>'7a.EAnalysis'!M$25</f>
        <v>30.946994256975724</v>
      </c>
      <c r="Z14" s="82">
        <f>'7a.EAnalysis'!M$26</f>
        <v>22317.462847014474</v>
      </c>
    </row>
    <row r="15" spans="1:26" x14ac:dyDescent="0.55000000000000004">
      <c r="B15" s="407"/>
      <c r="C15" s="243">
        <v>11</v>
      </c>
      <c r="D15" s="82">
        <f>'7a.EAnalysis'!N$4</f>
        <v>308992.81304347824</v>
      </c>
      <c r="E15" s="313" t="str">
        <f>'7a.EAnalysis'!N$5</f>
        <v>--</v>
      </c>
      <c r="F15" s="212">
        <f>'7a.EAnalysis'!N$6</f>
        <v>308992.81304347824</v>
      </c>
      <c r="G15" s="311" t="s">
        <v>31</v>
      </c>
      <c r="H15" s="82">
        <f>'7a.EAnalysis'!N$8</f>
        <v>378307.46504166664</v>
      </c>
      <c r="I15" s="249">
        <f>'7a.EAnalysis'!N$9</f>
        <v>345699.16500000004</v>
      </c>
      <c r="J15" s="214">
        <f>'7a.EAnalysis'!N$10</f>
        <v>32512.183374999986</v>
      </c>
      <c r="K15" s="215">
        <f>'7a.EAnalysis'!N$11</f>
        <v>96.116666666666646</v>
      </c>
      <c r="L15" s="82">
        <f>'7a.EAnalysis'!N$12</f>
        <v>69314.651998188405</v>
      </c>
      <c r="M15" s="82"/>
      <c r="N15" s="253">
        <f>'7a.EAnalysis'!N$14</f>
        <v>0.28747610409883567</v>
      </c>
      <c r="O15" s="82"/>
      <c r="P15" s="407"/>
      <c r="Q15" s="243">
        <v>11</v>
      </c>
      <c r="R15" s="82">
        <f>'7a.EAnalysis'!N$18</f>
        <v>88828.050088279022</v>
      </c>
      <c r="S15" s="312" t="str">
        <f>'7a.EAnalysis'!N$19</f>
        <v>--</v>
      </c>
      <c r="T15" s="57">
        <f>'7a.EAnalysis'!N$20</f>
        <v>88828.050088279022</v>
      </c>
      <c r="U15" s="311" t="s">
        <v>31</v>
      </c>
      <c r="V15" s="82">
        <f>'7a.EAnalysis'!N$22</f>
        <v>108754.3562016848</v>
      </c>
      <c r="W15" s="57">
        <f>'7a.EAnalysis'!N$23</f>
        <v>99380.249144420581</v>
      </c>
      <c r="X15" s="57">
        <f>'7a.EAnalysis'!N$24</f>
        <v>9346.475812391931</v>
      </c>
      <c r="Y15" s="57">
        <f>'7a.EAnalysis'!N$25</f>
        <v>27.631244872299749</v>
      </c>
      <c r="Z15" s="82">
        <f>'7a.EAnalysis'!N$26</f>
        <v>19926.306113405779</v>
      </c>
    </row>
    <row r="16" spans="1:26" x14ac:dyDescent="0.55000000000000004">
      <c r="B16" s="407"/>
      <c r="C16" s="243">
        <v>12</v>
      </c>
      <c r="D16" s="82">
        <f>'7a.EAnalysis'!O$4</f>
        <v>308992.81304347824</v>
      </c>
      <c r="E16" s="313" t="str">
        <f>'7a.EAnalysis'!O$5</f>
        <v>--</v>
      </c>
      <c r="F16" s="212">
        <f>'7a.EAnalysis'!O$6</f>
        <v>308992.81304347824</v>
      </c>
      <c r="G16" s="311" t="s">
        <v>31</v>
      </c>
      <c r="H16" s="82">
        <f>'7a.EAnalysis'!O$8</f>
        <v>378307.46504166664</v>
      </c>
      <c r="I16" s="249">
        <f>'7a.EAnalysis'!O$9</f>
        <v>345699.16500000004</v>
      </c>
      <c r="J16" s="214">
        <f>'7a.EAnalysis'!O$10</f>
        <v>32512.183374999986</v>
      </c>
      <c r="K16" s="215">
        <f>'7a.EAnalysis'!O$11</f>
        <v>96.116666666666646</v>
      </c>
      <c r="L16" s="82">
        <f>'7a.EAnalysis'!O$12</f>
        <v>69314.651998188405</v>
      </c>
      <c r="M16" s="82"/>
      <c r="N16" s="253">
        <f>'7a.EAnalysis'!O$14</f>
        <v>0.25667509294538904</v>
      </c>
      <c r="O16" s="82"/>
      <c r="P16" s="407"/>
      <c r="Q16" s="243">
        <v>12</v>
      </c>
      <c r="R16" s="82">
        <f>'7a.EAnalysis'!O$18</f>
        <v>79310.759007392</v>
      </c>
      <c r="S16" s="312" t="str">
        <f>'7a.EAnalysis'!O$19</f>
        <v>--</v>
      </c>
      <c r="T16" s="57">
        <f>'7a.EAnalysis'!O$20</f>
        <v>79310.759007392</v>
      </c>
      <c r="U16" s="311" t="s">
        <v>31</v>
      </c>
      <c r="V16" s="82">
        <f>'7a.EAnalysis'!O$22</f>
        <v>97102.103751504299</v>
      </c>
      <c r="W16" s="57">
        <f>'7a.EAnalysis'!O$23</f>
        <v>88732.365307518397</v>
      </c>
      <c r="X16" s="57">
        <f>'7a.EAnalysis'!O$24</f>
        <v>8345.0676896356545</v>
      </c>
      <c r="Y16" s="57">
        <f>'7a.EAnalysis'!O$25</f>
        <v>24.670754350267639</v>
      </c>
      <c r="Z16" s="82">
        <f>'7a.EAnalysis'!O$26</f>
        <v>17791.344744112306</v>
      </c>
    </row>
    <row r="17" spans="2:26" x14ac:dyDescent="0.55000000000000004">
      <c r="B17" s="407"/>
      <c r="C17" s="243">
        <v>13</v>
      </c>
      <c r="D17" s="82">
        <f>'7a.EAnalysis'!P$4</f>
        <v>308992.81304347824</v>
      </c>
      <c r="E17" s="313" t="str">
        <f>'7a.EAnalysis'!P$5</f>
        <v>--</v>
      </c>
      <c r="F17" s="212">
        <f>'7a.EAnalysis'!P$6</f>
        <v>308992.81304347824</v>
      </c>
      <c r="G17" s="311" t="s">
        <v>31</v>
      </c>
      <c r="H17" s="82">
        <f>'7a.EAnalysis'!P$8</f>
        <v>378307.46504166664</v>
      </c>
      <c r="I17" s="249">
        <f>'7a.EAnalysis'!P$9</f>
        <v>345699.16500000004</v>
      </c>
      <c r="J17" s="214">
        <f>'7a.EAnalysis'!P$10</f>
        <v>32512.183374999986</v>
      </c>
      <c r="K17" s="215">
        <f>'7a.EAnalysis'!P$11</f>
        <v>96.116666666666646</v>
      </c>
      <c r="L17" s="82">
        <f>'7a.EAnalysis'!P$12</f>
        <v>69314.651998188405</v>
      </c>
      <c r="M17" s="82"/>
      <c r="N17" s="253">
        <f>'7a.EAnalysis'!P$14</f>
        <v>0.22917419012981158</v>
      </c>
      <c r="O17" s="82"/>
      <c r="P17" s="407"/>
      <c r="Q17" s="243">
        <v>13</v>
      </c>
      <c r="R17" s="82">
        <f>'7a.EAnalysis'!P$18</f>
        <v>70813.177685171409</v>
      </c>
      <c r="S17" s="312" t="str">
        <f>'7a.EAnalysis'!P$19</f>
        <v>--</v>
      </c>
      <c r="T17" s="57">
        <f>'7a.EAnalysis'!P$20</f>
        <v>70813.177685171409</v>
      </c>
      <c r="U17" s="311" t="s">
        <v>31</v>
      </c>
      <c r="V17" s="82">
        <f>'7a.EAnalysis'!P$22</f>
        <v>86698.306920985953</v>
      </c>
      <c r="W17" s="57">
        <f>'7a.EAnalysis'!P$23</f>
        <v>79225.32616742712</v>
      </c>
      <c r="X17" s="57">
        <f>'7a.EAnalysis'!P$24</f>
        <v>7450.9532943175454</v>
      </c>
      <c r="Y17" s="57">
        <f>'7a.EAnalysis'!P$25</f>
        <v>22.027459241310385</v>
      </c>
      <c r="Z17" s="82">
        <f>'7a.EAnalysis'!P$26</f>
        <v>15885.129235814553</v>
      </c>
    </row>
    <row r="18" spans="2:26" x14ac:dyDescent="0.55000000000000004">
      <c r="B18" s="407"/>
      <c r="C18" s="243">
        <v>14</v>
      </c>
      <c r="D18" s="82">
        <f>'7a.EAnalysis'!Q$4</f>
        <v>308992.81304347824</v>
      </c>
      <c r="E18" s="313" t="str">
        <f>'7a.EAnalysis'!Q$5</f>
        <v>--</v>
      </c>
      <c r="F18" s="212">
        <f>'7a.EAnalysis'!Q$6</f>
        <v>308992.81304347824</v>
      </c>
      <c r="G18" s="311" t="s">
        <v>31</v>
      </c>
      <c r="H18" s="82">
        <f>'7a.EAnalysis'!Q$8</f>
        <v>378307.46504166664</v>
      </c>
      <c r="I18" s="249">
        <f>'7a.EAnalysis'!Q$9</f>
        <v>345699.16500000004</v>
      </c>
      <c r="J18" s="214">
        <f>'7a.EAnalysis'!Q$10</f>
        <v>32512.183374999986</v>
      </c>
      <c r="K18" s="215">
        <f>'7a.EAnalysis'!Q$11</f>
        <v>96.116666666666646</v>
      </c>
      <c r="L18" s="82">
        <f>'7a.EAnalysis'!Q$12</f>
        <v>69314.651998188405</v>
      </c>
      <c r="M18" s="82"/>
      <c r="N18" s="253">
        <f>'7a.EAnalysis'!Q$14</f>
        <v>0.20461981261590317</v>
      </c>
      <c r="O18" s="82"/>
      <c r="P18" s="407"/>
      <c r="Q18" s="243">
        <v>14</v>
      </c>
      <c r="R18" s="82">
        <f>'7a.EAnalysis'!Q$18</f>
        <v>63226.051504617317</v>
      </c>
      <c r="S18" s="312" t="str">
        <f>'7a.EAnalysis'!Q$19</f>
        <v>--</v>
      </c>
      <c r="T18" s="57">
        <f>'7a.EAnalysis'!Q$20</f>
        <v>63226.051504617317</v>
      </c>
      <c r="U18" s="311" t="s">
        <v>31</v>
      </c>
      <c r="V18" s="82">
        <f>'7a.EAnalysis'!Q$22</f>
        <v>77409.202608023174</v>
      </c>
      <c r="W18" s="57">
        <f>'7a.EAnalysis'!Q$23</f>
        <v>70736.898363774206</v>
      </c>
      <c r="X18" s="57">
        <f>'7a.EAnalysis'!Q$24</f>
        <v>6652.6368699263794</v>
      </c>
      <c r="Y18" s="57">
        <f>'7a.EAnalysis'!Q$25</f>
        <v>19.667374322598555</v>
      </c>
      <c r="Z18" s="82">
        <f>'7a.EAnalysis'!Q$26</f>
        <v>14183.151103405849</v>
      </c>
    </row>
    <row r="19" spans="2:26" x14ac:dyDescent="0.55000000000000004">
      <c r="B19" s="407"/>
      <c r="C19" s="243">
        <v>15</v>
      </c>
      <c r="D19" s="82">
        <f>'7a.EAnalysis'!R$4</f>
        <v>308992.81304347824</v>
      </c>
      <c r="E19" s="313" t="str">
        <f>'7a.EAnalysis'!R$5</f>
        <v>--</v>
      </c>
      <c r="F19" s="212">
        <f>'7a.EAnalysis'!R$6</f>
        <v>308992.81304347824</v>
      </c>
      <c r="G19" s="311" t="s">
        <v>31</v>
      </c>
      <c r="H19" s="82">
        <f>'7a.EAnalysis'!R$8</f>
        <v>378307.46504166664</v>
      </c>
      <c r="I19" s="249">
        <f>'7a.EAnalysis'!R$9</f>
        <v>345699.16500000004</v>
      </c>
      <c r="J19" s="214">
        <f>'7a.EAnalysis'!R$10</f>
        <v>32512.183374999986</v>
      </c>
      <c r="K19" s="215">
        <f>'7a.EAnalysis'!R$11</f>
        <v>96.116666666666646</v>
      </c>
      <c r="L19" s="82">
        <f>'7a.EAnalysis'!R$12</f>
        <v>69314.651998188405</v>
      </c>
      <c r="M19" s="82"/>
      <c r="N19" s="253">
        <f>'7a.EAnalysis'!R$14</f>
        <v>0.18269626126419927</v>
      </c>
      <c r="O19" s="82"/>
      <c r="P19" s="407"/>
      <c r="Q19" s="243">
        <v>15</v>
      </c>
      <c r="R19" s="82">
        <f>'7a.EAnalysis'!R$18</f>
        <v>56451.831700551178</v>
      </c>
      <c r="S19" s="312" t="str">
        <f>'7a.EAnalysis'!R$19</f>
        <v>--</v>
      </c>
      <c r="T19" s="57">
        <f>'7a.EAnalysis'!R$20</f>
        <v>56451.831700551178</v>
      </c>
      <c r="U19" s="311" t="s">
        <v>31</v>
      </c>
      <c r="V19" s="82">
        <f>'7a.EAnalysis'!R$22</f>
        <v>69115.359471449265</v>
      </c>
      <c r="W19" s="57">
        <f>'7a.EAnalysis'!R$23</f>
        <v>63157.944967655538</v>
      </c>
      <c r="X19" s="57">
        <f>'7a.EAnalysis'!R$24</f>
        <v>5939.8543481485531</v>
      </c>
      <c r="Y19" s="57">
        <f>'7a.EAnalysis'!R$25</f>
        <v>17.560155645177282</v>
      </c>
      <c r="Z19" s="82">
        <f>'7a.EAnalysis'!R$26</f>
        <v>12663.527770898081</v>
      </c>
    </row>
    <row r="20" spans="2:26" x14ac:dyDescent="0.55000000000000004">
      <c r="B20" s="407"/>
      <c r="C20" s="243">
        <v>16</v>
      </c>
      <c r="D20" s="82">
        <f>'7a.EAnalysis'!S$4</f>
        <v>308992.81304347824</v>
      </c>
      <c r="E20" s="313" t="str">
        <f>'7a.EAnalysis'!S$5</f>
        <v>--</v>
      </c>
      <c r="F20" s="212">
        <f>'7a.EAnalysis'!S$6</f>
        <v>308992.81304347824</v>
      </c>
      <c r="G20" s="311" t="s">
        <v>31</v>
      </c>
      <c r="H20" s="82">
        <f>'7a.EAnalysis'!S$8</f>
        <v>378307.46504166664</v>
      </c>
      <c r="I20" s="249">
        <f>'7a.EAnalysis'!S$9</f>
        <v>345699.16500000004</v>
      </c>
      <c r="J20" s="214">
        <f>'7a.EAnalysis'!S$10</f>
        <v>32512.183374999986</v>
      </c>
      <c r="K20" s="215">
        <f>'7a.EAnalysis'!S$11</f>
        <v>96.116666666666646</v>
      </c>
      <c r="L20" s="82">
        <f>'7a.EAnalysis'!S$12</f>
        <v>69314.651998188405</v>
      </c>
      <c r="M20" s="82"/>
      <c r="N20" s="253">
        <f>'7a.EAnalysis'!S$14</f>
        <v>0.16312166184303503</v>
      </c>
      <c r="O20" s="82"/>
      <c r="P20" s="407"/>
      <c r="Q20" s="243">
        <v>16</v>
      </c>
      <c r="R20" s="82">
        <f>'7a.EAnalysis'!S$18</f>
        <v>50403.421161206403</v>
      </c>
      <c r="S20" s="312" t="str">
        <f>'7a.EAnalysis'!S$19</f>
        <v>--</v>
      </c>
      <c r="T20" s="57">
        <f>'7a.EAnalysis'!S$20</f>
        <v>50403.421161206403</v>
      </c>
      <c r="U20" s="311" t="s">
        <v>31</v>
      </c>
      <c r="V20" s="82">
        <f>'7a.EAnalysis'!S$22</f>
        <v>61710.142385222542</v>
      </c>
      <c r="W20" s="57">
        <f>'7a.EAnalysis'!S$23</f>
        <v>56391.022292549576</v>
      </c>
      <c r="X20" s="57">
        <f>'7a.EAnalysis'!S$24</f>
        <v>5303.4413822754932</v>
      </c>
      <c r="Y20" s="57">
        <f>'7a.EAnalysis'!S$25</f>
        <v>15.678710397479714</v>
      </c>
      <c r="Z20" s="82">
        <f>'7a.EAnalysis'!S$26</f>
        <v>11306.721224016141</v>
      </c>
    </row>
    <row r="21" spans="2:26" x14ac:dyDescent="0.55000000000000004">
      <c r="B21" s="407"/>
      <c r="C21" s="243">
        <v>17</v>
      </c>
      <c r="D21" s="82">
        <f>'7a.EAnalysis'!T$4</f>
        <v>308992.81304347824</v>
      </c>
      <c r="E21" s="313" t="str">
        <f>'7a.EAnalysis'!T$5</f>
        <v>--</v>
      </c>
      <c r="F21" s="212">
        <f>'7a.EAnalysis'!T$6</f>
        <v>308992.81304347824</v>
      </c>
      <c r="G21" s="311" t="s">
        <v>31</v>
      </c>
      <c r="H21" s="82">
        <f>'7a.EAnalysis'!T$8</f>
        <v>378307.46504166664</v>
      </c>
      <c r="I21" s="249">
        <f>'7a.EAnalysis'!T$9</f>
        <v>345699.16500000004</v>
      </c>
      <c r="J21" s="214">
        <f>'7a.EAnalysis'!T$10</f>
        <v>32512.183374999986</v>
      </c>
      <c r="K21" s="215">
        <f>'7a.EAnalysis'!T$11</f>
        <v>96.116666666666646</v>
      </c>
      <c r="L21" s="82">
        <f>'7a.EAnalysis'!T$12</f>
        <v>69314.651998188405</v>
      </c>
      <c r="M21" s="82"/>
      <c r="N21" s="253">
        <f>'7a.EAnalysis'!T$14</f>
        <v>0.14564434093128129</v>
      </c>
      <c r="O21" s="82"/>
      <c r="P21" s="407"/>
      <c r="Q21" s="243">
        <v>17</v>
      </c>
      <c r="R21" s="82">
        <f>'7a.EAnalysis'!T$18</f>
        <v>45003.054608220002</v>
      </c>
      <c r="S21" s="312" t="str">
        <f>'7a.EAnalysis'!T$19</f>
        <v>--</v>
      </c>
      <c r="T21" s="57">
        <f>'7a.EAnalysis'!T$20</f>
        <v>45003.054608220002</v>
      </c>
      <c r="U21" s="311" t="s">
        <v>31</v>
      </c>
      <c r="V21" s="82">
        <f>'7a.EAnalysis'!T$22</f>
        <v>55098.341415377276</v>
      </c>
      <c r="W21" s="57">
        <f>'7a.EAnalysis'!T$23</f>
        <v>50349.127046919268</v>
      </c>
      <c r="X21" s="57">
        <f>'7a.EAnalysis'!T$24</f>
        <v>4735.2155198888331</v>
      </c>
      <c r="Y21" s="57">
        <f>'7a.EAnalysis'!T$25</f>
        <v>13.998848569178316</v>
      </c>
      <c r="Z21" s="82">
        <f>'7a.EAnalysis'!T$26</f>
        <v>10095.28680715727</v>
      </c>
    </row>
    <row r="22" spans="2:26" x14ac:dyDescent="0.55000000000000004">
      <c r="B22" s="407"/>
      <c r="C22" s="243">
        <v>18</v>
      </c>
      <c r="D22" s="82">
        <f>'7a.EAnalysis'!U$4</f>
        <v>308992.81304347824</v>
      </c>
      <c r="E22" s="313" t="str">
        <f>'7a.EAnalysis'!U$5</f>
        <v>--</v>
      </c>
      <c r="F22" s="212">
        <f>'7a.EAnalysis'!U$6</f>
        <v>308992.81304347824</v>
      </c>
      <c r="G22" s="311" t="s">
        <v>31</v>
      </c>
      <c r="H22" s="82">
        <f>'7a.EAnalysis'!U$8</f>
        <v>378307.46504166664</v>
      </c>
      <c r="I22" s="249">
        <f>'7a.EAnalysis'!U$9</f>
        <v>345699.16500000004</v>
      </c>
      <c r="J22" s="214">
        <f>'7a.EAnalysis'!U$10</f>
        <v>32512.183374999986</v>
      </c>
      <c r="K22" s="215">
        <f>'7a.EAnalysis'!U$11</f>
        <v>96.116666666666646</v>
      </c>
      <c r="L22" s="82">
        <f>'7a.EAnalysis'!U$12</f>
        <v>69314.651998188405</v>
      </c>
      <c r="M22" s="82"/>
      <c r="N22" s="253">
        <f>'7a.EAnalysis'!U$14</f>
        <v>0.13003959011721541</v>
      </c>
      <c r="O22" s="82"/>
      <c r="P22" s="407"/>
      <c r="Q22" s="243">
        <v>18</v>
      </c>
      <c r="R22" s="82">
        <f>'7a.EAnalysis'!U$18</f>
        <v>40181.298757339282</v>
      </c>
      <c r="S22" s="312" t="str">
        <f>'7a.EAnalysis'!U$19</f>
        <v>--</v>
      </c>
      <c r="T22" s="57">
        <f>'7a.EAnalysis'!U$20</f>
        <v>40181.298757339282</v>
      </c>
      <c r="U22" s="311" t="s">
        <v>31</v>
      </c>
      <c r="V22" s="82">
        <f>'7a.EAnalysis'!U$22</f>
        <v>49194.947692301132</v>
      </c>
      <c r="W22" s="57">
        <f>'7a.EAnalysis'!U$23</f>
        <v>44954.577720463625</v>
      </c>
      <c r="X22" s="57">
        <f>'7a.EAnalysis'!U$24</f>
        <v>4227.8709999007433</v>
      </c>
      <c r="Y22" s="57">
        <f>'7a.EAnalysis'!U$25</f>
        <v>12.498971936766353</v>
      </c>
      <c r="Z22" s="82">
        <f>'7a.EAnalysis'!U$26</f>
        <v>9013.648934961846</v>
      </c>
    </row>
    <row r="23" spans="2:26" x14ac:dyDescent="0.55000000000000004">
      <c r="B23" s="407"/>
      <c r="C23" s="243">
        <v>19</v>
      </c>
      <c r="D23" s="82">
        <f>'7a.EAnalysis'!V$4</f>
        <v>308992.81304347824</v>
      </c>
      <c r="E23" s="313" t="str">
        <f>'7a.EAnalysis'!V$5</f>
        <v>--</v>
      </c>
      <c r="F23" s="212">
        <f>'7a.EAnalysis'!V$6</f>
        <v>308992.81304347824</v>
      </c>
      <c r="G23" s="311" t="s">
        <v>31</v>
      </c>
      <c r="H23" s="82">
        <f>'7a.EAnalysis'!V$8</f>
        <v>378307.46504166664</v>
      </c>
      <c r="I23" s="249">
        <f>'7a.EAnalysis'!V$9</f>
        <v>345699.16500000004</v>
      </c>
      <c r="J23" s="214">
        <f>'7a.EAnalysis'!V$10</f>
        <v>32512.183374999986</v>
      </c>
      <c r="K23" s="215">
        <f>'7a.EAnalysis'!V$11</f>
        <v>96.116666666666646</v>
      </c>
      <c r="L23" s="82">
        <f>'7a.EAnalysis'!V$12</f>
        <v>69314.651998188405</v>
      </c>
      <c r="M23" s="82"/>
      <c r="N23" s="253">
        <f>'7a.EAnalysis'!V$14</f>
        <v>0.1161067768903709</v>
      </c>
      <c r="O23" s="82"/>
      <c r="P23" s="407"/>
      <c r="Q23" s="243">
        <v>19</v>
      </c>
      <c r="R23" s="82">
        <f>'7a.EAnalysis'!V$18</f>
        <v>35876.159604767214</v>
      </c>
      <c r="S23" s="312" t="str">
        <f>'7a.EAnalysis'!V$19</f>
        <v>--</v>
      </c>
      <c r="T23" s="57">
        <f>'7a.EAnalysis'!V$20</f>
        <v>35876.159604767214</v>
      </c>
      <c r="U23" s="311" t="s">
        <v>31</v>
      </c>
      <c r="V23" s="82">
        <f>'7a.EAnalysis'!V$22</f>
        <v>43924.060439554574</v>
      </c>
      <c r="W23" s="57">
        <f>'7a.EAnalysis'!V$23</f>
        <v>40138.01582184252</v>
      </c>
      <c r="X23" s="57">
        <f>'7a.EAnalysis'!V$24</f>
        <v>3774.8848213399492</v>
      </c>
      <c r="Y23" s="57">
        <f>'7a.EAnalysis'!V$25</f>
        <v>11.159796372112814</v>
      </c>
      <c r="Z23" s="82">
        <f>'7a.EAnalysis'!V$26</f>
        <v>8047.9008347873623</v>
      </c>
    </row>
    <row r="24" spans="2:26" x14ac:dyDescent="0.55000000000000004">
      <c r="B24" s="407"/>
      <c r="C24" s="243">
        <v>20</v>
      </c>
      <c r="D24" s="82">
        <f>'7a.EAnalysis'!W$4</f>
        <v>308992.81304347824</v>
      </c>
      <c r="E24" s="313" t="str">
        <f>'7a.EAnalysis'!W$5</f>
        <v>--</v>
      </c>
      <c r="F24" s="212">
        <f>'7a.EAnalysis'!W$6</f>
        <v>308992.81304347824</v>
      </c>
      <c r="G24" s="311" t="s">
        <v>31</v>
      </c>
      <c r="H24" s="82">
        <f>'7a.EAnalysis'!W$8</f>
        <v>378307.46504166664</v>
      </c>
      <c r="I24" s="249">
        <f>'7a.EAnalysis'!W$9</f>
        <v>345699.16500000004</v>
      </c>
      <c r="J24" s="214">
        <f>'7a.EAnalysis'!W$10</f>
        <v>32512.183374999986</v>
      </c>
      <c r="K24" s="215">
        <f>'7a.EAnalysis'!W$11</f>
        <v>96.116666666666646</v>
      </c>
      <c r="L24" s="82">
        <f>'7a.EAnalysis'!W$12</f>
        <v>69314.651998188405</v>
      </c>
      <c r="M24" s="82"/>
      <c r="N24" s="253">
        <f>'7a.EAnalysis'!W$14</f>
        <v>0.1036667650806883</v>
      </c>
      <c r="O24" s="82"/>
      <c r="P24" s="407"/>
      <c r="Q24" s="243">
        <v>20</v>
      </c>
      <c r="R24" s="82">
        <f>'7a.EAnalysis'!W$18</f>
        <v>32032.285361399296</v>
      </c>
      <c r="S24" s="312" t="str">
        <f>'7a.EAnalysis'!W$19</f>
        <v>--</v>
      </c>
      <c r="T24" s="57">
        <f>'7a.EAnalysis'!W$20</f>
        <v>32032.285361399296</v>
      </c>
      <c r="U24" s="311" t="s">
        <v>31</v>
      </c>
      <c r="V24" s="82">
        <f>'7a.EAnalysis'!W$22</f>
        <v>39217.911106745159</v>
      </c>
      <c r="W24" s="57">
        <f>'7a.EAnalysis'!W$23</f>
        <v>35837.514126645103</v>
      </c>
      <c r="X24" s="57">
        <f>'7a.EAnalysis'!W$24</f>
        <v>3370.4328761963829</v>
      </c>
      <c r="Y24" s="57">
        <f>'7a.EAnalysis'!W$25</f>
        <v>9.9641039036721555</v>
      </c>
      <c r="Z24" s="82">
        <f>'7a.EAnalysis'!W$26</f>
        <v>7185.6257453458593</v>
      </c>
    </row>
    <row r="25" spans="2:26" x14ac:dyDescent="0.55000000000000004">
      <c r="B25" s="407"/>
      <c r="C25" s="243">
        <v>21</v>
      </c>
      <c r="D25" s="82">
        <f>'7a.EAnalysis'!X$4</f>
        <v>308992.81304347824</v>
      </c>
      <c r="E25" s="313" t="str">
        <f>'7a.EAnalysis'!X$5</f>
        <v>--</v>
      </c>
      <c r="F25" s="212">
        <f>'7a.EAnalysis'!X$6</f>
        <v>308992.81304347824</v>
      </c>
      <c r="G25" s="311" t="s">
        <v>31</v>
      </c>
      <c r="H25" s="82">
        <f>'7a.EAnalysis'!X$8</f>
        <v>378307.46504166664</v>
      </c>
      <c r="I25" s="249">
        <f>'7a.EAnalysis'!X$9</f>
        <v>345699.16500000004</v>
      </c>
      <c r="J25" s="214">
        <f>'7a.EAnalysis'!X$10</f>
        <v>32512.183374999986</v>
      </c>
      <c r="K25" s="215">
        <f>'7a.EAnalysis'!X$11</f>
        <v>96.116666666666646</v>
      </c>
      <c r="L25" s="82">
        <f>'7a.EAnalysis'!X$12</f>
        <v>69314.651998188405</v>
      </c>
      <c r="M25" s="82"/>
      <c r="N25" s="253">
        <f>'7a.EAnalysis'!X$14</f>
        <v>9.2559611679185971E-2</v>
      </c>
      <c r="O25" s="82"/>
      <c r="P25" s="407"/>
      <c r="Q25" s="243">
        <v>21</v>
      </c>
      <c r="R25" s="82">
        <f>'7a.EAnalysis'!X$18</f>
        <v>28600.254786963655</v>
      </c>
      <c r="S25" s="312" t="str">
        <f>'7a.EAnalysis'!X$19</f>
        <v>--</v>
      </c>
      <c r="T25" s="57">
        <f>'7a.EAnalysis'!X$20</f>
        <v>28600.254786963655</v>
      </c>
      <c r="U25" s="311" t="s">
        <v>31</v>
      </c>
      <c r="V25" s="82">
        <f>'7a.EAnalysis'!X$22</f>
        <v>35015.992059593889</v>
      </c>
      <c r="W25" s="57">
        <f>'7a.EAnalysis'!X$23</f>
        <v>31997.78047021884</v>
      </c>
      <c r="X25" s="57">
        <f>'7a.EAnalysis'!X$24</f>
        <v>3009.3150680324848</v>
      </c>
      <c r="Y25" s="57">
        <f>'7a.EAnalysis'!X$25</f>
        <v>8.896521342564423</v>
      </c>
      <c r="Z25" s="82">
        <f>'7a.EAnalysis'!X$26</f>
        <v>6415.737272630231</v>
      </c>
    </row>
    <row r="26" spans="2:26" x14ac:dyDescent="0.55000000000000004">
      <c r="B26" s="407"/>
      <c r="C26" s="243">
        <v>22</v>
      </c>
      <c r="D26" s="82">
        <f>'7a.EAnalysis'!Y$4</f>
        <v>308992.81304347824</v>
      </c>
      <c r="E26" s="313" t="str">
        <f>'7a.EAnalysis'!Y$5</f>
        <v>--</v>
      </c>
      <c r="F26" s="212">
        <f>'7a.EAnalysis'!Y$6</f>
        <v>308992.81304347824</v>
      </c>
      <c r="G26" s="311" t="s">
        <v>31</v>
      </c>
      <c r="H26" s="82">
        <f>'7a.EAnalysis'!Y$8</f>
        <v>378307.46504166664</v>
      </c>
      <c r="I26" s="249">
        <f>'7a.EAnalysis'!Y$9</f>
        <v>345699.16500000004</v>
      </c>
      <c r="J26" s="214">
        <f>'7a.EAnalysis'!Y$10</f>
        <v>32512.183374999986</v>
      </c>
      <c r="K26" s="215">
        <f>'7a.EAnalysis'!Y$11</f>
        <v>96.116666666666646</v>
      </c>
      <c r="L26" s="82">
        <f>'7a.EAnalysis'!Y$12</f>
        <v>69314.651998188405</v>
      </c>
      <c r="M26" s="82"/>
      <c r="N26" s="253">
        <f>'7a.EAnalysis'!Y$14</f>
        <v>8.2642510427844609E-2</v>
      </c>
      <c r="O26" s="82"/>
      <c r="P26" s="407"/>
      <c r="Q26" s="243">
        <v>22</v>
      </c>
      <c r="R26" s="82">
        <f>'7a.EAnalysis'!Y$18</f>
        <v>25535.94177407469</v>
      </c>
      <c r="S26" s="312" t="str">
        <f>'7a.EAnalysis'!Y$19</f>
        <v>--</v>
      </c>
      <c r="T26" s="57">
        <f>'7a.EAnalysis'!Y$20</f>
        <v>25535.94177407469</v>
      </c>
      <c r="U26" s="311" t="s">
        <v>31</v>
      </c>
      <c r="V26" s="82">
        <f>'7a.EAnalysis'!Y$22</f>
        <v>31264.278624637394</v>
      </c>
      <c r="W26" s="57">
        <f>'7a.EAnalysis'!Y$23</f>
        <v>28569.446848409676</v>
      </c>
      <c r="X26" s="57">
        <f>'7a.EAnalysis'!Y$24</f>
        <v>2686.8884536004325</v>
      </c>
      <c r="Y26" s="57">
        <f>'7a.EAnalysis'!Y$25</f>
        <v>7.9433226272896622</v>
      </c>
      <c r="Z26" s="82">
        <f>'7a.EAnalysis'!Y$26</f>
        <v>5728.3368505627059</v>
      </c>
    </row>
    <row r="27" spans="2:26" x14ac:dyDescent="0.55000000000000004">
      <c r="B27" s="407"/>
      <c r="C27" s="243">
        <v>23</v>
      </c>
      <c r="D27" s="82">
        <f>'7a.EAnalysis'!Z$4</f>
        <v>308992.81304347824</v>
      </c>
      <c r="E27" s="313" t="str">
        <f>'7a.EAnalysis'!Z$5</f>
        <v>--</v>
      </c>
      <c r="F27" s="212">
        <f>'7a.EAnalysis'!Z$6</f>
        <v>308992.81304347824</v>
      </c>
      <c r="G27" s="311" t="s">
        <v>31</v>
      </c>
      <c r="H27" s="82">
        <f>'7a.EAnalysis'!Z$8</f>
        <v>378307.46504166664</v>
      </c>
      <c r="I27" s="249">
        <f>'7a.EAnalysis'!Z$9</f>
        <v>345699.16500000004</v>
      </c>
      <c r="J27" s="214">
        <f>'7a.EAnalysis'!Z$10</f>
        <v>32512.183374999986</v>
      </c>
      <c r="K27" s="215">
        <f>'7a.EAnalysis'!Z$11</f>
        <v>96.116666666666646</v>
      </c>
      <c r="L27" s="82">
        <f>'7a.EAnalysis'!Z$12</f>
        <v>69314.651998188405</v>
      </c>
      <c r="M27" s="82"/>
      <c r="N27" s="253">
        <f>'7a.EAnalysis'!Z$14</f>
        <v>7.3787955739146982E-2</v>
      </c>
      <c r="O27" s="82"/>
      <c r="P27" s="407"/>
      <c r="Q27" s="243">
        <v>23</v>
      </c>
      <c r="R27" s="82">
        <f>'7a.EAnalysis'!Z$18</f>
        <v>22799.948012566689</v>
      </c>
      <c r="S27" s="312" t="str">
        <f>'7a.EAnalysis'!Z$19</f>
        <v>--</v>
      </c>
      <c r="T27" s="57">
        <f>'7a.EAnalysis'!Z$20</f>
        <v>22799.948012566689</v>
      </c>
      <c r="U27" s="311" t="s">
        <v>31</v>
      </c>
      <c r="V27" s="82">
        <f>'7a.EAnalysis'!Z$22</f>
        <v>27914.534486283392</v>
      </c>
      <c r="W27" s="57">
        <f>'7a.EAnalysis'!Z$23</f>
        <v>25508.434686080072</v>
      </c>
      <c r="X27" s="57">
        <f>'7a.EAnalysis'!Z$24</f>
        <v>2399.0075478575295</v>
      </c>
      <c r="Y27" s="57">
        <f>'7a.EAnalysis'!Z$25</f>
        <v>7.0922523457943427</v>
      </c>
      <c r="Z27" s="82">
        <f>'7a.EAnalysis'!Z$26</f>
        <v>5114.5864737167021</v>
      </c>
    </row>
    <row r="28" spans="2:26" x14ac:dyDescent="0.55000000000000004">
      <c r="B28" s="407"/>
      <c r="C28" s="243">
        <v>24</v>
      </c>
      <c r="D28" s="82">
        <f>'7a.EAnalysis'!AA$4</f>
        <v>308992.81304347824</v>
      </c>
      <c r="E28" s="313" t="str">
        <f>'7a.EAnalysis'!AA$5</f>
        <v>--</v>
      </c>
      <c r="F28" s="212">
        <f>'7a.EAnalysis'!AA$6</f>
        <v>308992.81304347824</v>
      </c>
      <c r="G28" s="311" t="s">
        <v>31</v>
      </c>
      <c r="H28" s="82">
        <f>'7a.EAnalysis'!AA$8</f>
        <v>378307.46504166664</v>
      </c>
      <c r="I28" s="249">
        <f>'7a.EAnalysis'!AA$9</f>
        <v>345699.16500000004</v>
      </c>
      <c r="J28" s="214">
        <f>'7a.EAnalysis'!AA$10</f>
        <v>32512.183374999986</v>
      </c>
      <c r="K28" s="215">
        <f>'7a.EAnalysis'!AA$11</f>
        <v>96.116666666666646</v>
      </c>
      <c r="L28" s="82">
        <f>'7a.EAnalysis'!AA$12</f>
        <v>69314.651998188405</v>
      </c>
      <c r="M28" s="82"/>
      <c r="N28" s="253">
        <f>'7a.EAnalysis'!AA$14</f>
        <v>6.5882103338524081E-2</v>
      </c>
      <c r="O28" s="82"/>
      <c r="P28" s="407"/>
      <c r="Q28" s="243">
        <v>24</v>
      </c>
      <c r="R28" s="82">
        <f>'7a.EAnalysis'!AA$18</f>
        <v>20357.096439791683</v>
      </c>
      <c r="S28" s="312" t="str">
        <f>'7a.EAnalysis'!AA$19</f>
        <v>--</v>
      </c>
      <c r="T28" s="57">
        <f>'7a.EAnalysis'!AA$20</f>
        <v>20357.096439791683</v>
      </c>
      <c r="U28" s="311" t="s">
        <v>31</v>
      </c>
      <c r="V28" s="82">
        <f>'7a.EAnalysis'!AA$22</f>
        <v>24923.691505610168</v>
      </c>
      <c r="W28" s="57">
        <f>'7a.EAnalysis'!AA$23</f>
        <v>22775.388112571491</v>
      </c>
      <c r="X28" s="57">
        <f>'7a.EAnalysis'!AA$24</f>
        <v>2141.9710248727938</v>
      </c>
      <c r="Y28" s="57">
        <f>'7a.EAnalysis'!AA$25</f>
        <v>6.3323681658878046</v>
      </c>
      <c r="Z28" s="82">
        <f>'7a.EAnalysis'!AA$26</f>
        <v>4566.5950658184829</v>
      </c>
    </row>
    <row r="29" spans="2:26" x14ac:dyDescent="0.55000000000000004">
      <c r="B29" s="407"/>
      <c r="C29" s="243">
        <v>25</v>
      </c>
      <c r="D29" s="82">
        <f>'7a.EAnalysis'!AB$4</f>
        <v>308992.81304347824</v>
      </c>
      <c r="E29" s="313" t="str">
        <f>'7a.EAnalysis'!AB$5</f>
        <v>--</v>
      </c>
      <c r="F29" s="212">
        <f>'7a.EAnalysis'!AB$6</f>
        <v>308992.81304347824</v>
      </c>
      <c r="G29" s="311" t="s">
        <v>31</v>
      </c>
      <c r="H29" s="82">
        <f>'7a.EAnalysis'!AB$8</f>
        <v>378307.46504166664</v>
      </c>
      <c r="I29" s="249">
        <f>'7a.EAnalysis'!AB$9</f>
        <v>345699.16500000004</v>
      </c>
      <c r="J29" s="214">
        <f>'7a.EAnalysis'!AB$10</f>
        <v>32512.183374999986</v>
      </c>
      <c r="K29" s="215">
        <f>'7a.EAnalysis'!AB$11</f>
        <v>96.116666666666646</v>
      </c>
      <c r="L29" s="82">
        <f>'7a.EAnalysis'!AB$12</f>
        <v>69314.651998188405</v>
      </c>
      <c r="M29" s="82"/>
      <c r="N29" s="253">
        <f>'7a.EAnalysis'!AB$14</f>
        <v>5.8823306552253637E-2</v>
      </c>
      <c r="O29" s="82"/>
      <c r="P29" s="407"/>
      <c r="Q29" s="243">
        <v>25</v>
      </c>
      <c r="R29" s="82">
        <f>'7a.EAnalysis'!AB$18</f>
        <v>18175.978964099715</v>
      </c>
      <c r="S29" s="312" t="str">
        <f>'7a.EAnalysis'!AB$19</f>
        <v>--</v>
      </c>
      <c r="T29" s="57">
        <f>'7a.EAnalysis'!AB$20</f>
        <v>18175.978964099715</v>
      </c>
      <c r="U29" s="311" t="s">
        <v>31</v>
      </c>
      <c r="V29" s="82">
        <f>'7a.EAnalysis'!AB$22</f>
        <v>22253.295987151934</v>
      </c>
      <c r="W29" s="57">
        <f>'7a.EAnalysis'!AB$23</f>
        <v>20335.167957653113</v>
      </c>
      <c r="X29" s="57">
        <f>'7a.EAnalysis'!AB$24</f>
        <v>1912.4741293507084</v>
      </c>
      <c r="Y29" s="57">
        <f>'7a.EAnalysis'!AB$25</f>
        <v>5.6539001481141105</v>
      </c>
      <c r="Z29" s="82">
        <f>'7a.EAnalysis'!AB$26</f>
        <v>4077.3170230522169</v>
      </c>
    </row>
    <row r="30" spans="2:26" x14ac:dyDescent="0.55000000000000004">
      <c r="B30" s="407"/>
      <c r="C30" s="243">
        <v>26</v>
      </c>
      <c r="D30" s="82">
        <f>'7a.EAnalysis'!AC$4</f>
        <v>308992.81304347824</v>
      </c>
      <c r="E30" s="313" t="str">
        <f>'7a.EAnalysis'!AC$5</f>
        <v>--</v>
      </c>
      <c r="F30" s="212">
        <f>'7a.EAnalysis'!AC$6</f>
        <v>308992.81304347824</v>
      </c>
      <c r="G30" s="311" t="s">
        <v>31</v>
      </c>
      <c r="H30" s="82">
        <f>'7a.EAnalysis'!AC$8</f>
        <v>378307.46504166664</v>
      </c>
      <c r="I30" s="249">
        <f>'7a.EAnalysis'!AC$9</f>
        <v>345699.16500000004</v>
      </c>
      <c r="J30" s="214">
        <f>'7a.EAnalysis'!AC$10</f>
        <v>32512.183374999986</v>
      </c>
      <c r="K30" s="215">
        <f>'7a.EAnalysis'!AC$11</f>
        <v>96.116666666666646</v>
      </c>
      <c r="L30" s="82">
        <f>'7a.EAnalysis'!AC$12</f>
        <v>69314.651998188405</v>
      </c>
      <c r="M30" s="82"/>
      <c r="N30" s="253">
        <f>'7a.EAnalysis'!AC$14</f>
        <v>5.2520809421655032E-2</v>
      </c>
      <c r="O30" s="82"/>
      <c r="P30" s="407"/>
      <c r="Q30" s="243">
        <v>26</v>
      </c>
      <c r="R30" s="82">
        <f>'7a.EAnalysis'!AC$18</f>
        <v>16228.552646517604</v>
      </c>
      <c r="S30" s="312" t="str">
        <f>'7a.EAnalysis'!AC$19</f>
        <v>--</v>
      </c>
      <c r="T30" s="57">
        <f>'7a.EAnalysis'!AC$20</f>
        <v>16228.552646517604</v>
      </c>
      <c r="U30" s="311" t="s">
        <v>31</v>
      </c>
      <c r="V30" s="82">
        <f>'7a.EAnalysis'!AC$22</f>
        <v>19869.014274242796</v>
      </c>
      <c r="W30" s="57">
        <f>'7a.EAnalysis'!AC$23</f>
        <v>18156.39996219028</v>
      </c>
      <c r="X30" s="57">
        <f>'7a.EAnalysis'!AC$24</f>
        <v>1707.5661869202754</v>
      </c>
      <c r="Y30" s="57">
        <f>'7a.EAnalysis'!AC$25</f>
        <v>5.048125132244742</v>
      </c>
      <c r="Z30" s="82">
        <f>'7a.EAnalysis'!AC$26</f>
        <v>3640.4616277251935</v>
      </c>
    </row>
    <row r="31" spans="2:26" x14ac:dyDescent="0.55000000000000004">
      <c r="B31" s="407"/>
      <c r="C31" s="243">
        <v>27</v>
      </c>
      <c r="D31" s="82">
        <f>'7a.EAnalysis'!AD$4</f>
        <v>308992.81304347824</v>
      </c>
      <c r="E31" s="313" t="str">
        <f>'7a.EAnalysis'!AD$5</f>
        <v>--</v>
      </c>
      <c r="F31" s="212">
        <f>'7a.EAnalysis'!AD$6</f>
        <v>308992.81304347824</v>
      </c>
      <c r="G31" s="311" t="s">
        <v>31</v>
      </c>
      <c r="H31" s="82">
        <f>'7a.EAnalysis'!AD$8</f>
        <v>378307.46504166664</v>
      </c>
      <c r="I31" s="249">
        <f>'7a.EAnalysis'!AD$9</f>
        <v>345699.16500000004</v>
      </c>
      <c r="J31" s="214">
        <f>'7a.EAnalysis'!AD$10</f>
        <v>32512.183374999986</v>
      </c>
      <c r="K31" s="215">
        <f>'7a.EAnalysis'!AD$11</f>
        <v>96.116666666666646</v>
      </c>
      <c r="L31" s="82">
        <f>'7a.EAnalysis'!AD$12</f>
        <v>69314.651998188405</v>
      </c>
      <c r="M31" s="82"/>
      <c r="N31" s="253">
        <f>'7a.EAnalysis'!AD$14</f>
        <v>4.6893579840763415E-2</v>
      </c>
      <c r="O31" s="82"/>
      <c r="P31" s="407"/>
      <c r="Q31" s="243">
        <v>27</v>
      </c>
      <c r="R31" s="82">
        <f>'7a.EAnalysis'!AD$18</f>
        <v>14489.779148676429</v>
      </c>
      <c r="S31" s="312" t="str">
        <f>'7a.EAnalysis'!AD$19</f>
        <v>--</v>
      </c>
      <c r="T31" s="57">
        <f>'7a.EAnalysis'!AD$20</f>
        <v>14489.779148676429</v>
      </c>
      <c r="U31" s="311" t="s">
        <v>31</v>
      </c>
      <c r="V31" s="82">
        <f>'7a.EAnalysis'!AD$22</f>
        <v>17740.191316288208</v>
      </c>
      <c r="W31" s="57">
        <f>'7a.EAnalysis'!AD$23</f>
        <v>16211.071394812747</v>
      </c>
      <c r="X31" s="57">
        <f>'7a.EAnalysis'!AD$24</f>
        <v>1524.6126668931029</v>
      </c>
      <c r="Y31" s="57">
        <f>'7a.EAnalysis'!AD$25</f>
        <v>4.5072545823613757</v>
      </c>
      <c r="Z31" s="82">
        <f>'7a.EAnalysis'!AD$26</f>
        <v>3250.4121676117793</v>
      </c>
    </row>
    <row r="32" spans="2:26" x14ac:dyDescent="0.55000000000000004">
      <c r="B32" s="407"/>
      <c r="C32" s="243">
        <v>28</v>
      </c>
      <c r="D32" s="82">
        <f>'7a.EAnalysis'!AE$4</f>
        <v>308992.81304347824</v>
      </c>
      <c r="E32" s="313" t="str">
        <f>'7a.EAnalysis'!AE$5</f>
        <v>--</v>
      </c>
      <c r="F32" s="212">
        <f>'7a.EAnalysis'!AE$6</f>
        <v>308992.81304347824</v>
      </c>
      <c r="G32" s="311" t="s">
        <v>31</v>
      </c>
      <c r="H32" s="82">
        <f>'7a.EAnalysis'!AE$8</f>
        <v>378307.46504166664</v>
      </c>
      <c r="I32" s="249">
        <f>'7a.EAnalysis'!AE$9</f>
        <v>345699.16500000004</v>
      </c>
      <c r="J32" s="214">
        <f>'7a.EAnalysis'!AE$10</f>
        <v>32512.183374999986</v>
      </c>
      <c r="K32" s="215">
        <f>'7a.EAnalysis'!AE$11</f>
        <v>96.116666666666646</v>
      </c>
      <c r="L32" s="82">
        <f>'7a.EAnalysis'!AE$12</f>
        <v>69314.651998188405</v>
      </c>
      <c r="M32" s="82"/>
      <c r="N32" s="253">
        <f>'7a.EAnalysis'!AE$14</f>
        <v>4.1869267714967337E-2</v>
      </c>
      <c r="O32" s="82"/>
      <c r="P32" s="407"/>
      <c r="Q32" s="243">
        <v>28</v>
      </c>
      <c r="R32" s="82">
        <f>'7a.EAnalysis'!AE$18</f>
        <v>12937.302811318241</v>
      </c>
      <c r="S32" s="312" t="str">
        <f>'7a.EAnalysis'!AE$19</f>
        <v>--</v>
      </c>
      <c r="T32" s="57">
        <f>'7a.EAnalysis'!AE$20</f>
        <v>12937.302811318241</v>
      </c>
      <c r="U32" s="311" t="s">
        <v>31</v>
      </c>
      <c r="V32" s="82">
        <f>'7a.EAnalysis'!AE$22</f>
        <v>15839.456532400187</v>
      </c>
      <c r="W32" s="57">
        <f>'7a.EAnalysis'!AE$23</f>
        <v>14474.170888225668</v>
      </c>
      <c r="X32" s="57">
        <f>'7a.EAnalysis'!AE$24</f>
        <v>1361.2613097259848</v>
      </c>
      <c r="Y32" s="57">
        <f>'7a.EAnalysis'!AE$25</f>
        <v>4.0243344485369432</v>
      </c>
      <c r="Z32" s="82">
        <f>'7a.EAnalysis'!AE$26</f>
        <v>2902.1537210819461</v>
      </c>
    </row>
    <row r="33" spans="2:26" x14ac:dyDescent="0.55000000000000004">
      <c r="B33" s="407"/>
      <c r="C33" s="243">
        <v>29</v>
      </c>
      <c r="D33" s="82">
        <f>'7a.EAnalysis'!AF$4</f>
        <v>308992.81304347824</v>
      </c>
      <c r="E33" s="313" t="str">
        <f>'7a.EAnalysis'!AF$5</f>
        <v>--</v>
      </c>
      <c r="F33" s="212">
        <f>'7a.EAnalysis'!AF$6</f>
        <v>308992.81304347824</v>
      </c>
      <c r="G33" s="311" t="s">
        <v>31</v>
      </c>
      <c r="H33" s="82">
        <f>'7a.EAnalysis'!AF$8</f>
        <v>378307.46504166664</v>
      </c>
      <c r="I33" s="249">
        <f>'7a.EAnalysis'!AF$9</f>
        <v>345699.16500000004</v>
      </c>
      <c r="J33" s="214">
        <f>'7a.EAnalysis'!AF$10</f>
        <v>32512.183374999986</v>
      </c>
      <c r="K33" s="215">
        <f>'7a.EAnalysis'!AF$11</f>
        <v>96.116666666666646</v>
      </c>
      <c r="L33" s="82">
        <f>'7a.EAnalysis'!AF$12</f>
        <v>69314.651998188405</v>
      </c>
      <c r="M33" s="82"/>
      <c r="N33" s="253">
        <f>'7a.EAnalysis'!AF$14</f>
        <v>3.7383274745506546E-2</v>
      </c>
      <c r="O33" s="82"/>
      <c r="P33" s="407"/>
      <c r="Q33" s="243">
        <v>29</v>
      </c>
      <c r="R33" s="82">
        <f>'7a.EAnalysis'!AF$18</f>
        <v>11551.163224391286</v>
      </c>
      <c r="S33" s="312" t="str">
        <f>'7a.EAnalysis'!AF$19</f>
        <v>--</v>
      </c>
      <c r="T33" s="57">
        <f>'7a.EAnalysis'!AF$20</f>
        <v>11551.163224391286</v>
      </c>
      <c r="U33" s="311" t="s">
        <v>31</v>
      </c>
      <c r="V33" s="82">
        <f>'7a.EAnalysis'!AF$22</f>
        <v>14142.371903928737</v>
      </c>
      <c r="W33" s="57">
        <f>'7a.EAnalysis'!AF$23</f>
        <v>12923.366864487201</v>
      </c>
      <c r="X33" s="57">
        <f>'7a.EAnalysis'!AF$24</f>
        <v>1215.4118836839148</v>
      </c>
      <c r="Y33" s="57">
        <f>'7a.EAnalysis'!AF$25</f>
        <v>3.5931557576222701</v>
      </c>
      <c r="Z33" s="82">
        <f>'7a.EAnalysis'!AF$26</f>
        <v>2591.2086795374516</v>
      </c>
    </row>
    <row r="34" spans="2:26" x14ac:dyDescent="0.55000000000000004">
      <c r="B34" s="408"/>
      <c r="C34" s="243">
        <v>30</v>
      </c>
      <c r="D34" s="82">
        <f>'7a.EAnalysis'!AG$4</f>
        <v>308992.81304347824</v>
      </c>
      <c r="E34" s="313" t="str">
        <f>'7a.EAnalysis'!AG$5</f>
        <v>--</v>
      </c>
      <c r="F34" s="212">
        <f>'7a.EAnalysis'!AG$6</f>
        <v>308992.81304347824</v>
      </c>
      <c r="G34" s="311" t="s">
        <v>31</v>
      </c>
      <c r="H34" s="82">
        <f>'7a.EAnalysis'!AG$8</f>
        <v>378307.46504166664</v>
      </c>
      <c r="I34" s="249">
        <f>'7a.EAnalysis'!AG$9</f>
        <v>345699.16500000004</v>
      </c>
      <c r="J34" s="214">
        <f>'7a.EAnalysis'!AG$10</f>
        <v>32512.183374999986</v>
      </c>
      <c r="K34" s="215">
        <f>'7a.EAnalysis'!AG$11</f>
        <v>96.116666666666646</v>
      </c>
      <c r="L34" s="82">
        <f>'7a.EAnalysis'!AG$12</f>
        <v>69723.347650362324</v>
      </c>
      <c r="M34" s="82"/>
      <c r="N34" s="254">
        <f>'7a.EAnalysis'!AG$14</f>
        <v>3.3377923879916553E-2</v>
      </c>
      <c r="O34" s="82"/>
      <c r="P34" s="408"/>
      <c r="Q34" s="243">
        <v>30</v>
      </c>
      <c r="R34" s="82">
        <f>'7a.EAnalysis'!AG$18</f>
        <v>10313.538593206504</v>
      </c>
      <c r="S34" s="312" t="str">
        <f>'7a.EAnalysis'!AG$19</f>
        <v>--</v>
      </c>
      <c r="T34" s="57">
        <f>'7a.EAnalysis'!AG$20</f>
        <v>10313.538593206504</v>
      </c>
      <c r="U34" s="311" t="s">
        <v>31</v>
      </c>
      <c r="V34" s="82">
        <f>'7a.EAnalysis'!AG$22</f>
        <v>12627.117771364941</v>
      </c>
      <c r="W34" s="57">
        <f>'7a.EAnalysis'!AG$23</f>
        <v>11538.720414720714</v>
      </c>
      <c r="X34" s="57">
        <f>'7a.EAnalysis'!AG$24</f>
        <v>1085.189181860638</v>
      </c>
      <c r="Y34" s="57">
        <f>'7a.EAnalysis'!AG$25</f>
        <v>3.2081747835913119</v>
      </c>
      <c r="Z34" s="82">
        <f>'7a.EAnalysis'!AG$26</f>
        <v>2327.2205905267524</v>
      </c>
    </row>
    <row r="35" spans="2:26" x14ac:dyDescent="0.55000000000000004">
      <c r="B35" s="409" t="s">
        <v>30</v>
      </c>
      <c r="C35" s="409"/>
      <c r="D35" s="56"/>
      <c r="E35" s="54"/>
      <c r="F35" s="54"/>
      <c r="G35" s="54">
        <f>'7a.EAnalysis'!AH$7</f>
        <v>-408.69565217391306</v>
      </c>
      <c r="H35" s="54"/>
      <c r="I35" s="250"/>
      <c r="J35" s="54"/>
      <c r="K35" s="54"/>
      <c r="L35" s="54"/>
      <c r="M35" s="54"/>
      <c r="N35" s="51"/>
      <c r="O35" s="54"/>
      <c r="P35" s="409" t="s">
        <v>30</v>
      </c>
      <c r="Q35" s="409"/>
      <c r="R35" s="54"/>
      <c r="S35" s="54"/>
      <c r="T35" s="54"/>
      <c r="U35" s="54">
        <f>'7a.EAnalysis'!AH$21</f>
        <v>-13.641412368313722</v>
      </c>
      <c r="V35" s="54"/>
      <c r="W35" s="250"/>
      <c r="X35" s="54"/>
      <c r="Y35" s="54"/>
      <c r="Z35" s="54"/>
    </row>
    <row r="37" spans="2:26" x14ac:dyDescent="0.55000000000000004">
      <c r="D37" s="261" t="str">
        <f>'7a.EAnalysis'!B28</f>
        <v>ENPV</v>
      </c>
      <c r="E37" s="245">
        <f>'7a.EAnalysis'!C28</f>
        <v>153295.07628453986</v>
      </c>
      <c r="F37" s="140" t="s">
        <v>114</v>
      </c>
    </row>
    <row r="38" spans="2:26" x14ac:dyDescent="0.55000000000000004">
      <c r="D38" s="261" t="str">
        <f>'7a.EAnalysis'!B29</f>
        <v>EBCR</v>
      </c>
      <c r="E38" s="256">
        <f>'7a.EAnalysis'!C29</f>
        <v>1.1048153968834209</v>
      </c>
    </row>
    <row r="39" spans="2:26" x14ac:dyDescent="0.55000000000000004">
      <c r="D39" s="261" t="str">
        <f>'7a.EAnalysis'!B30</f>
        <v>EIRR</v>
      </c>
      <c r="E39" s="257">
        <f>'7a.EAnalysis'!C30</f>
        <v>0.21466065145332647</v>
      </c>
    </row>
  </sheetData>
  <sheetProtection algorithmName="SHA-512" hashValue="SwQVEafM+c3VuJlFgSnYegebKxKMVlJi2brQ0bdqcc+fFZOKG0D48uvb9gzcLk5AlAh3Y1kT5Wtylc6eprcLbg==" saltValue="Gb9uf6WZQWXqJHObyTCtUQ==" spinCount="100000" sheet="1" objects="1" scenarios="1" autoFilter="0"/>
  <mergeCells count="8">
    <mergeCell ref="B2:L2"/>
    <mergeCell ref="P2:Z2"/>
    <mergeCell ref="B4:C4"/>
    <mergeCell ref="B5:B34"/>
    <mergeCell ref="B35:C35"/>
    <mergeCell ref="P4:Q4"/>
    <mergeCell ref="P5:P34"/>
    <mergeCell ref="P35:Q35"/>
  </mergeCells>
  <phoneticPr fontId="4"/>
  <printOptions horizontalCentered="1"/>
  <pageMargins left="0.7" right="0.7" top="0.75" bottom="0.75" header="0.3" footer="0.3"/>
  <pageSetup paperSize="9" scale="40" orientation="landscape"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83D88E-0D7E-4A77-8D00-EFBEA3685961}">
  <sheetPr codeName="Sheet12">
    <tabColor theme="0" tint="-0.14999847407452621"/>
  </sheetPr>
  <dimension ref="A1:E10"/>
  <sheetViews>
    <sheetView zoomScaleNormal="100" workbookViewId="0">
      <pane xSplit="1" ySplit="1" topLeftCell="B2" activePane="bottomRight" state="frozen"/>
      <selection activeCell="B21" sqref="B21"/>
      <selection pane="topRight" activeCell="B21" sqref="B21"/>
      <selection pane="bottomLeft" activeCell="B21" sqref="B21"/>
      <selection pane="bottomRight" activeCell="B21" sqref="B21"/>
    </sheetView>
  </sheetViews>
  <sheetFormatPr defaultRowHeight="18" x14ac:dyDescent="0.55000000000000004"/>
  <cols>
    <col min="1" max="1" width="2.58203125" customWidth="1"/>
    <col min="2" max="2" width="41.4140625" bestFit="1" customWidth="1"/>
    <col min="3" max="13" width="10.9140625" customWidth="1"/>
  </cols>
  <sheetData>
    <row r="1" spans="1:5" s="3" customFormat="1" ht="20" x14ac:dyDescent="0.6">
      <c r="A1" s="5" t="str">
        <f>"Summary Results ("&amp;MID('0.Contents'!A1,20,(LEN('0.Contents'!A1)-20))&amp;")"</f>
        <v>Summary Results (Power Distribution)</v>
      </c>
    </row>
    <row r="2" spans="1:5" ht="18" customHeight="1" x14ac:dyDescent="0.6">
      <c r="A2" s="6"/>
      <c r="B2" s="113" t="s">
        <v>46</v>
      </c>
      <c r="C2" s="116" t="s">
        <v>79</v>
      </c>
      <c r="D2" s="119"/>
    </row>
    <row r="3" spans="1:5" x14ac:dyDescent="0.55000000000000004">
      <c r="B3" s="114" t="s">
        <v>80</v>
      </c>
      <c r="C3" s="60">
        <f>'4a.FAnalysis'!$C22</f>
        <v>16122.010506924267</v>
      </c>
      <c r="D3" s="140" t="s">
        <v>114</v>
      </c>
    </row>
    <row r="4" spans="1:5" x14ac:dyDescent="0.55000000000000004">
      <c r="B4" s="20" t="s">
        <v>82</v>
      </c>
      <c r="C4" s="117">
        <f>'4a.FAnalysis'!$C23</f>
        <v>1.0095855764825474</v>
      </c>
    </row>
    <row r="5" spans="1:5" x14ac:dyDescent="0.55000000000000004">
      <c r="B5" s="20" t="s">
        <v>83</v>
      </c>
      <c r="C5" s="78">
        <f>'4a.FAnalysis'!$C24</f>
        <v>0.13047876395441471</v>
      </c>
      <c r="E5" s="349"/>
    </row>
    <row r="6" spans="1:5" x14ac:dyDescent="0.55000000000000004">
      <c r="B6" s="114" t="s">
        <v>81</v>
      </c>
      <c r="C6" s="40">
        <f>'7a.EAnalysis'!$C28</f>
        <v>153295.07628453986</v>
      </c>
      <c r="D6" s="140" t="s">
        <v>114</v>
      </c>
    </row>
    <row r="7" spans="1:5" x14ac:dyDescent="0.55000000000000004">
      <c r="B7" s="20" t="s">
        <v>84</v>
      </c>
      <c r="C7" s="118">
        <f>'7a.EAnalysis'!$C29</f>
        <v>1.1048153968834209</v>
      </c>
      <c r="D7" s="118"/>
    </row>
    <row r="8" spans="1:5" x14ac:dyDescent="0.55000000000000004">
      <c r="B8" s="115" t="s">
        <v>85</v>
      </c>
      <c r="C8" s="120">
        <f>'7a.EAnalysis'!$C30</f>
        <v>0.21466065145332647</v>
      </c>
      <c r="D8" s="118"/>
    </row>
    <row r="9" spans="1:5" x14ac:dyDescent="0.55000000000000004">
      <c r="D9" s="118"/>
    </row>
    <row r="10" spans="1:5" x14ac:dyDescent="0.55000000000000004">
      <c r="B10" s="10"/>
    </row>
  </sheetData>
  <sheetProtection algorithmName="SHA-512" hashValue="j9t/h3P92hJTtOaOZFQAtX0BbTPuWsouoo3b1kRSUd7Cy8Js78PCvxJbm9gRyRVuap2NyKahkV+v5aH0iEScCw==" saltValue="8C/qvKx7BYy1a5f0XS7ODg==" spinCount="100000" sheet="1" objects="1" scenarios="1" autoFilter="0"/>
  <phoneticPr fontId="4"/>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DB063-FD4D-40A8-BF23-A72614F2600A}">
  <sheetPr codeName="Sheet2">
    <tabColor theme="0" tint="-0.14999847407452621"/>
  </sheetPr>
  <dimension ref="A1:R104"/>
  <sheetViews>
    <sheetView tabSelected="1" zoomScale="70" zoomScaleNormal="70" workbookViewId="0">
      <pane xSplit="1" ySplit="1" topLeftCell="B3" activePane="bottomRight" state="frozen"/>
      <selection activeCell="B21" sqref="B21"/>
      <selection pane="topRight" activeCell="B21" sqref="B21"/>
      <selection pane="bottomLeft" activeCell="B21" sqref="B21"/>
      <selection pane="bottomRight" activeCell="B18" sqref="B18"/>
    </sheetView>
  </sheetViews>
  <sheetFormatPr defaultRowHeight="18" x14ac:dyDescent="0.55000000000000004"/>
  <cols>
    <col min="1" max="1" width="2.58203125" customWidth="1"/>
    <col min="2" max="2" width="56.33203125" customWidth="1"/>
    <col min="3" max="3" width="10.33203125" style="131" customWidth="1"/>
    <col min="4" max="4" width="10.08203125" customWidth="1"/>
    <col min="6" max="6" width="2.58203125" customWidth="1"/>
    <col min="7" max="7" width="57.75" style="25" customWidth="1"/>
    <col min="8" max="8" width="10.33203125" style="134" customWidth="1"/>
    <col min="9" max="9" width="10.08203125" customWidth="1"/>
    <col min="10" max="15" width="9.75" customWidth="1"/>
  </cols>
  <sheetData>
    <row r="1" spans="1:11" s="3" customFormat="1" ht="20" x14ac:dyDescent="0.6">
      <c r="A1" s="5" t="str">
        <f>"Model Parameters ("&amp;MID('0.Contents'!A1,20,(LEN('0.Contents'!A1)-20))&amp;")"</f>
        <v>Model Parameters (Power Distribution)</v>
      </c>
      <c r="C1" s="132"/>
      <c r="F1" s="5" t="str">
        <f>"Project Assumptions/Variables ("&amp;MID('0.Contents'!A1,20,(LEN('0.Contents'!A1)-20))&amp;")"</f>
        <v>Project Assumptions/Variables (Power Distribution)</v>
      </c>
      <c r="G1" s="27"/>
      <c r="H1" s="137"/>
    </row>
    <row r="2" spans="1:11" ht="18.5" thickBot="1" x14ac:dyDescent="0.6">
      <c r="B2" s="4" t="s">
        <v>23</v>
      </c>
      <c r="C2" s="133"/>
      <c r="D2" s="188"/>
      <c r="E2" s="79"/>
      <c r="G2" s="216" t="s">
        <v>177</v>
      </c>
    </row>
    <row r="3" spans="1:11" ht="18.5" thickBot="1" x14ac:dyDescent="0.6">
      <c r="B3" s="20" t="s">
        <v>105</v>
      </c>
      <c r="C3" s="135" t="s">
        <v>102</v>
      </c>
      <c r="D3" s="315">
        <v>0.02</v>
      </c>
      <c r="E3" s="196" t="s">
        <v>215</v>
      </c>
      <c r="G3" s="29" t="s">
        <v>189</v>
      </c>
      <c r="H3" s="135" t="s">
        <v>101</v>
      </c>
      <c r="I3" s="316">
        <v>30</v>
      </c>
      <c r="J3" s="197" t="s">
        <v>153</v>
      </c>
      <c r="K3" s="198" t="s">
        <v>173</v>
      </c>
    </row>
    <row r="4" spans="1:11" ht="18.5" thickBot="1" x14ac:dyDescent="0.6">
      <c r="B4" s="20" t="s">
        <v>106</v>
      </c>
      <c r="C4" s="135" t="s">
        <v>102</v>
      </c>
      <c r="D4" s="315">
        <v>0.05</v>
      </c>
      <c r="E4" s="196" t="s">
        <v>216</v>
      </c>
      <c r="G4" s="29" t="s">
        <v>107</v>
      </c>
      <c r="H4" s="135" t="s">
        <v>101</v>
      </c>
      <c r="I4" s="316">
        <v>5</v>
      </c>
      <c r="J4" s="197" t="s">
        <v>154</v>
      </c>
      <c r="K4" s="198" t="s">
        <v>174</v>
      </c>
    </row>
    <row r="5" spans="1:11" ht="18.5" thickBot="1" x14ac:dyDescent="0.6">
      <c r="B5" s="189" t="s">
        <v>212</v>
      </c>
      <c r="C5" s="190" t="s">
        <v>102</v>
      </c>
      <c r="D5" s="269">
        <v>0.05</v>
      </c>
      <c r="E5" s="356" t="s">
        <v>216</v>
      </c>
      <c r="G5" s="216" t="s">
        <v>178</v>
      </c>
      <c r="J5" s="197"/>
      <c r="K5" s="131"/>
    </row>
    <row r="6" spans="1:11" ht="18.5" thickBot="1" x14ac:dyDescent="0.6">
      <c r="B6" s="4"/>
      <c r="C6" s="133"/>
      <c r="D6" s="67"/>
      <c r="E6" s="196"/>
      <c r="G6" s="29" t="s">
        <v>118</v>
      </c>
      <c r="H6" s="136" t="s">
        <v>102</v>
      </c>
      <c r="I6" s="317">
        <v>0.09</v>
      </c>
      <c r="J6" s="197" t="s">
        <v>218</v>
      </c>
      <c r="K6" s="131"/>
    </row>
    <row r="7" spans="1:11" ht="18.5" thickBot="1" x14ac:dyDescent="0.6">
      <c r="B7" s="4" t="s">
        <v>21</v>
      </c>
      <c r="C7" s="133"/>
      <c r="D7" s="77"/>
      <c r="E7" s="196"/>
      <c r="G7" s="29" t="s">
        <v>109</v>
      </c>
      <c r="H7" s="135" t="s">
        <v>108</v>
      </c>
      <c r="I7" s="318">
        <v>100000</v>
      </c>
      <c r="J7" s="197" t="s">
        <v>155</v>
      </c>
      <c r="K7" s="131"/>
    </row>
    <row r="8" spans="1:11" ht="18.5" thickBot="1" x14ac:dyDescent="0.6">
      <c r="B8" s="29" t="s">
        <v>261</v>
      </c>
      <c r="C8" s="133"/>
      <c r="D8" s="316">
        <v>1.1499999999999999</v>
      </c>
      <c r="E8" s="196" t="s">
        <v>150</v>
      </c>
      <c r="G8" s="216" t="s">
        <v>179</v>
      </c>
      <c r="K8" s="131"/>
    </row>
    <row r="9" spans="1:11" ht="18.5" thickBot="1" x14ac:dyDescent="0.6">
      <c r="B9" s="189" t="s">
        <v>213</v>
      </c>
      <c r="C9" s="191"/>
      <c r="D9" s="264">
        <v>1.45</v>
      </c>
      <c r="E9" s="196" t="s">
        <v>151</v>
      </c>
      <c r="G9" s="29" t="s">
        <v>144</v>
      </c>
      <c r="H9" s="136" t="s">
        <v>102</v>
      </c>
      <c r="I9" s="317">
        <v>0.8</v>
      </c>
      <c r="J9" s="197" t="s">
        <v>219</v>
      </c>
      <c r="K9" s="131"/>
    </row>
    <row r="10" spans="1:11" ht="18.5" thickBot="1" x14ac:dyDescent="0.6">
      <c r="B10" s="4"/>
      <c r="C10" s="133"/>
      <c r="D10" s="188"/>
      <c r="E10" s="196"/>
      <c r="G10" s="29" t="s">
        <v>137</v>
      </c>
      <c r="H10" s="135" t="s">
        <v>140</v>
      </c>
      <c r="I10" s="318">
        <v>595</v>
      </c>
      <c r="J10" s="197" t="s">
        <v>156</v>
      </c>
      <c r="K10" s="198" t="s">
        <v>142</v>
      </c>
    </row>
    <row r="11" spans="1:11" ht="18.5" thickBot="1" x14ac:dyDescent="0.6">
      <c r="B11" s="4" t="s">
        <v>22</v>
      </c>
      <c r="C11" s="133"/>
      <c r="D11" s="77"/>
      <c r="E11" s="196"/>
      <c r="G11" s="29" t="s">
        <v>138</v>
      </c>
      <c r="H11" s="135" t="s">
        <v>141</v>
      </c>
      <c r="I11" s="128">
        <f>(I10*24*365)</f>
        <v>5212200</v>
      </c>
      <c r="J11" s="197"/>
      <c r="K11" s="198" t="s">
        <v>142</v>
      </c>
    </row>
    <row r="12" spans="1:11" ht="18.5" thickBot="1" x14ac:dyDescent="0.6">
      <c r="B12" s="4" t="s">
        <v>104</v>
      </c>
      <c r="C12" s="135" t="s">
        <v>102</v>
      </c>
      <c r="D12" s="315">
        <v>0.12</v>
      </c>
      <c r="E12" s="196" t="s">
        <v>217</v>
      </c>
      <c r="G12" s="37" t="s">
        <v>100</v>
      </c>
      <c r="H12" s="139" t="s">
        <v>102</v>
      </c>
      <c r="I12" s="319">
        <v>5.2499999999999998E-2</v>
      </c>
      <c r="J12" s="197" t="s">
        <v>159</v>
      </c>
      <c r="K12" s="131"/>
    </row>
    <row r="13" spans="1:11" ht="18.5" thickBot="1" x14ac:dyDescent="0.6">
      <c r="B13" s="4" t="s">
        <v>113</v>
      </c>
      <c r="C13" s="135" t="s">
        <v>102</v>
      </c>
      <c r="D13" s="315">
        <v>0.12</v>
      </c>
      <c r="E13" s="196" t="s">
        <v>217</v>
      </c>
      <c r="G13" s="29" t="s">
        <v>139</v>
      </c>
      <c r="H13" s="135" t="s">
        <v>141</v>
      </c>
      <c r="I13" s="128">
        <f>I11*(1-I12)</f>
        <v>4938559.5</v>
      </c>
      <c r="J13" s="197"/>
      <c r="K13" s="131"/>
    </row>
    <row r="14" spans="1:11" ht="18.5" thickBot="1" x14ac:dyDescent="0.6">
      <c r="B14" s="4"/>
      <c r="C14" s="133"/>
      <c r="D14" s="265"/>
      <c r="E14" s="196"/>
      <c r="G14" s="216" t="s">
        <v>180</v>
      </c>
      <c r="K14" s="196"/>
    </row>
    <row r="15" spans="1:11" ht="18.5" thickBot="1" x14ac:dyDescent="0.6">
      <c r="B15" s="189" t="s">
        <v>214</v>
      </c>
      <c r="C15" s="190" t="s">
        <v>103</v>
      </c>
      <c r="D15" s="266">
        <v>100</v>
      </c>
      <c r="E15" s="196" t="s">
        <v>152</v>
      </c>
      <c r="G15" s="37" t="s">
        <v>136</v>
      </c>
      <c r="H15" s="138" t="s">
        <v>110</v>
      </c>
      <c r="I15" s="320">
        <v>8.0500000000000007</v>
      </c>
      <c r="J15" s="197" t="s">
        <v>157</v>
      </c>
      <c r="K15" s="131"/>
    </row>
    <row r="16" spans="1:11" ht="18.5" thickBot="1" x14ac:dyDescent="0.6">
      <c r="C16" s="134"/>
      <c r="G16" s="37" t="s">
        <v>163</v>
      </c>
      <c r="H16" s="138" t="s">
        <v>110</v>
      </c>
      <c r="I16" s="320">
        <v>6.75</v>
      </c>
      <c r="J16" s="197" t="s">
        <v>158</v>
      </c>
    </row>
    <row r="17" spans="1:16" ht="18.5" thickBot="1" x14ac:dyDescent="0.6">
      <c r="B17" s="268" t="s">
        <v>148</v>
      </c>
      <c r="C17" s="186"/>
      <c r="G17" s="37" t="s">
        <v>143</v>
      </c>
      <c r="H17" s="138" t="s">
        <v>110</v>
      </c>
      <c r="I17" s="320">
        <v>12</v>
      </c>
      <c r="J17" s="197" t="s">
        <v>160</v>
      </c>
      <c r="K17" s="198" t="s">
        <v>185</v>
      </c>
    </row>
    <row r="18" spans="1:16" ht="18.5" thickBot="1" x14ac:dyDescent="0.6">
      <c r="G18" s="216" t="s">
        <v>181</v>
      </c>
      <c r="J18" s="197"/>
      <c r="K18" s="196"/>
    </row>
    <row r="19" spans="1:16" ht="18.5" thickBot="1" x14ac:dyDescent="0.6">
      <c r="G19" s="29" t="s">
        <v>134</v>
      </c>
      <c r="H19" s="136" t="s">
        <v>111</v>
      </c>
      <c r="I19" s="321">
        <v>12</v>
      </c>
      <c r="J19" s="197" t="s">
        <v>161</v>
      </c>
      <c r="K19" s="131"/>
    </row>
    <row r="20" spans="1:16" x14ac:dyDescent="0.55000000000000004">
      <c r="G20" s="29" t="s">
        <v>135</v>
      </c>
      <c r="H20" s="136" t="s">
        <v>112</v>
      </c>
      <c r="I20" s="129">
        <f>I19/60*365</f>
        <v>73</v>
      </c>
      <c r="J20" s="197"/>
    </row>
    <row r="21" spans="1:16" ht="18.5" thickBot="1" x14ac:dyDescent="0.6">
      <c r="G21" s="216" t="s">
        <v>186</v>
      </c>
    </row>
    <row r="22" spans="1:16" ht="18.5" thickBot="1" x14ac:dyDescent="0.6">
      <c r="G22" s="29" t="s">
        <v>258</v>
      </c>
      <c r="H22" s="139" t="s">
        <v>108</v>
      </c>
      <c r="I22" s="315">
        <f>1/3</f>
        <v>0.33333333333333331</v>
      </c>
      <c r="J22" s="197" t="s">
        <v>187</v>
      </c>
    </row>
    <row r="23" spans="1:16" x14ac:dyDescent="0.55000000000000004">
      <c r="H23" s="170"/>
      <c r="I23" s="129"/>
    </row>
    <row r="24" spans="1:16" s="3" customFormat="1" ht="20" x14ac:dyDescent="0.6">
      <c r="A24" s="5" t="str">
        <f>"Sensitivity Analysis ("&amp;MID('0.Contents'!A1,20,(LEN('0.Contents'!A1)-20))&amp;")"</f>
        <v>Sensitivity Analysis (Power Distribution)</v>
      </c>
      <c r="C24" s="132"/>
      <c r="G24" s="27"/>
      <c r="H24" s="137"/>
    </row>
    <row r="25" spans="1:16" ht="20" x14ac:dyDescent="0.6">
      <c r="B25" s="4" t="s">
        <v>127</v>
      </c>
      <c r="C25" s="136" t="s">
        <v>102</v>
      </c>
      <c r="D25" s="267">
        <v>1</v>
      </c>
      <c r="E25" s="196" t="s">
        <v>162</v>
      </c>
      <c r="F25" s="6"/>
      <c r="G25" s="359" t="s">
        <v>119</v>
      </c>
      <c r="H25" s="164"/>
      <c r="I25" s="361" t="s">
        <v>79</v>
      </c>
      <c r="J25" s="363" t="s">
        <v>98</v>
      </c>
      <c r="K25" s="364"/>
      <c r="L25" s="365"/>
      <c r="M25" s="364" t="s">
        <v>99</v>
      </c>
      <c r="N25" s="364"/>
      <c r="O25" s="364"/>
    </row>
    <row r="26" spans="1:16" ht="20" x14ac:dyDescent="0.6">
      <c r="B26" s="4" t="s">
        <v>128</v>
      </c>
      <c r="C26" s="136" t="s">
        <v>102</v>
      </c>
      <c r="D26" s="267">
        <v>1</v>
      </c>
      <c r="E26" s="196" t="s">
        <v>162</v>
      </c>
      <c r="F26" s="6"/>
      <c r="G26" s="360"/>
      <c r="H26" s="165"/>
      <c r="I26" s="362"/>
      <c r="J26" s="166" t="s">
        <v>115</v>
      </c>
      <c r="K26" s="11" t="s">
        <v>116</v>
      </c>
      <c r="L26" s="167" t="s">
        <v>117</v>
      </c>
      <c r="M26" s="11" t="s">
        <v>115</v>
      </c>
      <c r="N26" s="11" t="s">
        <v>116</v>
      </c>
      <c r="O26" s="11" t="s">
        <v>117</v>
      </c>
    </row>
    <row r="27" spans="1:16" ht="20" x14ac:dyDescent="0.6">
      <c r="F27" s="6"/>
      <c r="G27" s="38" t="s">
        <v>124</v>
      </c>
      <c r="H27" s="143" t="s">
        <v>125</v>
      </c>
      <c r="I27" s="173">
        <f>D25</f>
        <v>1</v>
      </c>
      <c r="J27" s="148">
        <f>'4a.FAnalysis'!$C$22</f>
        <v>16122.010506924267</v>
      </c>
      <c r="K27" s="200">
        <f>'4a.FAnalysis'!$C$23</f>
        <v>1.0095855764825474</v>
      </c>
      <c r="L27" s="149">
        <f>'4a.FAnalysis'!$C$24</f>
        <v>0.13047876395441471</v>
      </c>
      <c r="M27" s="41">
        <f>'7a.EAnalysis'!$C$28</f>
        <v>153295.07628453986</v>
      </c>
      <c r="N27" s="200">
        <f>'7a.EAnalysis'!$C$29</f>
        <v>1.1048153968834209</v>
      </c>
      <c r="O27" s="144">
        <f>'7a.EAnalysis'!$C$30</f>
        <v>0.21466065145332647</v>
      </c>
      <c r="P27" s="198" t="s">
        <v>171</v>
      </c>
    </row>
    <row r="28" spans="1:16" ht="20" x14ac:dyDescent="0.6">
      <c r="F28" s="6"/>
      <c r="I28" s="322">
        <v>0.8</v>
      </c>
      <c r="J28" s="150">
        <f t="dataTable" ref="J28:O32" dt2D="0" dtr="0" r1="D25"/>
        <v>-323483.00545273791</v>
      </c>
      <c r="K28" s="195">
        <v>0.80766846118603819</v>
      </c>
      <c r="L28" s="151" t="str">
        <v xml:space="preserve">        n/a</v>
      </c>
      <c r="M28" s="39">
        <v>-169868.82058826138</v>
      </c>
      <c r="N28" s="195">
        <v>0.88385231750673665</v>
      </c>
      <c r="O28" s="145" t="str">
        <v xml:space="preserve">        n/a</v>
      </c>
    </row>
    <row r="29" spans="1:16" ht="20" x14ac:dyDescent="0.6">
      <c r="F29" s="6"/>
      <c r="I29" s="322">
        <v>0.9</v>
      </c>
      <c r="J29" s="150">
        <v>-153680.49747290675</v>
      </c>
      <c r="K29" s="195">
        <v>0.90862701883429287</v>
      </c>
      <c r="L29" s="151">
        <v>-7.3289870227278064E-2</v>
      </c>
      <c r="M29" s="39">
        <v>-8286.8721518607144</v>
      </c>
      <c r="N29" s="195">
        <v>0.99433385719507938</v>
      </c>
      <c r="O29" s="145">
        <v>0.11353220693000643</v>
      </c>
    </row>
    <row r="30" spans="1:16" ht="20" x14ac:dyDescent="0.6">
      <c r="F30" s="6"/>
      <c r="I30" s="322">
        <v>1</v>
      </c>
      <c r="J30" s="150">
        <v>16122.010506924267</v>
      </c>
      <c r="K30" s="195">
        <v>1.0095855764825474</v>
      </c>
      <c r="L30" s="151">
        <v>0.13047876395441471</v>
      </c>
      <c r="M30" s="39">
        <v>153295.07628453986</v>
      </c>
      <c r="N30" s="195">
        <v>1.1048153968834209</v>
      </c>
      <c r="O30" s="145">
        <v>0.21466065145332647</v>
      </c>
    </row>
    <row r="31" spans="1:16" ht="20" x14ac:dyDescent="0.6">
      <c r="F31" s="6"/>
      <c r="I31" s="322">
        <v>1.1000000000000001</v>
      </c>
      <c r="J31" s="150">
        <v>185924.51848675552</v>
      </c>
      <c r="K31" s="195">
        <v>1.1105441341308022</v>
      </c>
      <c r="L31" s="151">
        <v>0.21894995626439551</v>
      </c>
      <c r="M31" s="39">
        <v>314877.0247209408</v>
      </c>
      <c r="N31" s="195">
        <v>1.2152969365717632</v>
      </c>
      <c r="O31" s="145">
        <v>0.28821502907908436</v>
      </c>
    </row>
    <row r="32" spans="1:16" ht="20" x14ac:dyDescent="0.6">
      <c r="F32" s="6"/>
      <c r="G32" s="187"/>
      <c r="H32" s="146"/>
      <c r="I32" s="323">
        <v>1.2</v>
      </c>
      <c r="J32" s="152">
        <v>355727.02646658663</v>
      </c>
      <c r="K32" s="203">
        <v>1.211502691779057</v>
      </c>
      <c r="L32" s="153">
        <v>0.28595332845776333</v>
      </c>
      <c r="M32" s="44">
        <v>476458.97315734136</v>
      </c>
      <c r="N32" s="203">
        <v>1.3257784762601055</v>
      </c>
      <c r="O32" s="121">
        <v>0.34826162113537595</v>
      </c>
    </row>
    <row r="33" spans="6:16" ht="20" x14ac:dyDescent="0.6">
      <c r="F33" s="6"/>
      <c r="G33" s="359" t="s">
        <v>119</v>
      </c>
      <c r="H33" s="164"/>
      <c r="I33" s="361" t="s">
        <v>79</v>
      </c>
      <c r="J33" s="363" t="s">
        <v>98</v>
      </c>
      <c r="K33" s="364"/>
      <c r="L33" s="365"/>
      <c r="M33" s="364" t="s">
        <v>99</v>
      </c>
      <c r="N33" s="364"/>
      <c r="O33" s="364"/>
    </row>
    <row r="34" spans="6:16" ht="20" x14ac:dyDescent="0.6">
      <c r="F34" s="6"/>
      <c r="G34" s="360"/>
      <c r="H34" s="165"/>
      <c r="I34" s="362"/>
      <c r="J34" s="166" t="s">
        <v>115</v>
      </c>
      <c r="K34" s="11" t="s">
        <v>116</v>
      </c>
      <c r="L34" s="167" t="s">
        <v>117</v>
      </c>
      <c r="M34" s="11" t="s">
        <v>115</v>
      </c>
      <c r="N34" s="11" t="s">
        <v>116</v>
      </c>
      <c r="O34" s="11" t="s">
        <v>117</v>
      </c>
    </row>
    <row r="35" spans="6:16" ht="20" x14ac:dyDescent="0.6">
      <c r="F35" s="6"/>
      <c r="G35" s="38" t="s">
        <v>126</v>
      </c>
      <c r="H35" s="143" t="s">
        <v>125</v>
      </c>
      <c r="I35" s="173">
        <f>D26</f>
        <v>1</v>
      </c>
      <c r="J35" s="148">
        <f>'4a.FAnalysis'!$C$22</f>
        <v>16122.010506924267</v>
      </c>
      <c r="K35" s="200">
        <f>'4a.FAnalysis'!$C$23</f>
        <v>1.0095855764825474</v>
      </c>
      <c r="L35" s="149">
        <f>'4a.FAnalysis'!$C$24</f>
        <v>0.13047876395441471</v>
      </c>
      <c r="M35" s="41">
        <f>'7a.EAnalysis'!$C$28</f>
        <v>153295.07628453986</v>
      </c>
      <c r="N35" s="200">
        <f>'7a.EAnalysis'!$C$29</f>
        <v>1.1048153968834209</v>
      </c>
      <c r="O35" s="144">
        <f>'7a.EAnalysis'!$C$30</f>
        <v>0.21466065145332647</v>
      </c>
      <c r="P35" s="198" t="s">
        <v>171</v>
      </c>
    </row>
    <row r="36" spans="6:16" ht="20" x14ac:dyDescent="0.6">
      <c r="F36" s="6"/>
      <c r="I36" s="322">
        <v>0.8</v>
      </c>
      <c r="J36" s="150">
        <f t="dataTable" ref="J36:O40" dt2D="0" dtr="0" r1="D26" ca="1"/>
        <v>352505.76189004647</v>
      </c>
      <c r="K36" s="195">
        <v>1.2619849133329797</v>
      </c>
      <c r="L36" s="151">
        <v>0.31486508110524358</v>
      </c>
      <c r="M36" s="39">
        <v>445802.68618290697</v>
      </c>
      <c r="N36" s="195">
        <v>1.3810224664089852</v>
      </c>
      <c r="O36" s="145">
        <v>0.37488075545363087</v>
      </c>
    </row>
    <row r="37" spans="6:16" ht="20" x14ac:dyDescent="0.6">
      <c r="F37" s="6"/>
      <c r="I37" s="322">
        <v>0.9</v>
      </c>
      <c r="J37" s="150">
        <v>184313.88619848524</v>
      </c>
      <c r="K37" s="195">
        <v>1.1217629142056875</v>
      </c>
      <c r="L37" s="151">
        <v>0.2271678914184081</v>
      </c>
      <c r="M37" s="39">
        <v>299548.88123372331</v>
      </c>
      <c r="N37" s="195">
        <v>1.2275739354212969</v>
      </c>
      <c r="O37" s="145">
        <v>0.29542882909696822</v>
      </c>
    </row>
    <row r="38" spans="6:16" ht="20" x14ac:dyDescent="0.6">
      <c r="F38" s="6"/>
      <c r="I38" s="322">
        <v>1</v>
      </c>
      <c r="J38" s="150">
        <v>16122.010506924267</v>
      </c>
      <c r="K38" s="195">
        <v>1.0095855764825474</v>
      </c>
      <c r="L38" s="151">
        <v>0.13047876395441471</v>
      </c>
      <c r="M38" s="39">
        <v>153295.07628453986</v>
      </c>
      <c r="N38" s="195">
        <v>1.1048153968834209</v>
      </c>
      <c r="O38" s="145">
        <v>0.21466065145332647</v>
      </c>
    </row>
    <row r="39" spans="6:16" ht="20" x14ac:dyDescent="0.6">
      <c r="F39" s="6"/>
      <c r="I39" s="322">
        <v>1.1000000000000001</v>
      </c>
      <c r="J39" s="150">
        <v>-152069.86518463696</v>
      </c>
      <c r="K39" s="195">
        <v>0.91780429128947272</v>
      </c>
      <c r="L39" s="151">
        <v>-2.5567940907665232E-2</v>
      </c>
      <c r="M39" s="39">
        <v>7041.271335356224</v>
      </c>
      <c r="N39" s="195">
        <v>1.0043767818822584</v>
      </c>
      <c r="O39" s="145">
        <v>0.12485281825971706</v>
      </c>
    </row>
    <row r="40" spans="6:16" ht="20" x14ac:dyDescent="0.6">
      <c r="F40" s="6"/>
      <c r="G40" s="187"/>
      <c r="H40" s="146"/>
      <c r="I40" s="323">
        <v>1.2</v>
      </c>
      <c r="J40" s="152">
        <v>-320261.74087619793</v>
      </c>
      <c r="K40" s="203">
        <v>0.8413200058606306</v>
      </c>
      <c r="L40" s="153" t="str">
        <v xml:space="preserve">        n/a</v>
      </c>
      <c r="M40" s="44">
        <v>-139212.5336138272</v>
      </c>
      <c r="N40" s="203">
        <v>0.92067806616187564</v>
      </c>
      <c r="O40" s="121">
        <v>-1.5380075327330878E-2</v>
      </c>
    </row>
    <row r="41" spans="6:16" x14ac:dyDescent="0.55000000000000004">
      <c r="G41" s="359" t="s">
        <v>119</v>
      </c>
      <c r="H41" s="164"/>
      <c r="I41" s="361" t="s">
        <v>79</v>
      </c>
      <c r="J41" s="363" t="s">
        <v>98</v>
      </c>
      <c r="K41" s="364"/>
      <c r="L41" s="365"/>
      <c r="M41" s="364" t="s">
        <v>99</v>
      </c>
      <c r="N41" s="364"/>
      <c r="O41" s="364"/>
    </row>
    <row r="42" spans="6:16" x14ac:dyDescent="0.55000000000000004">
      <c r="G42" s="360"/>
      <c r="H42" s="165"/>
      <c r="I42" s="362"/>
      <c r="J42" s="166" t="s">
        <v>115</v>
      </c>
      <c r="K42" s="11" t="s">
        <v>116</v>
      </c>
      <c r="L42" s="167" t="s">
        <v>117</v>
      </c>
      <c r="M42" s="11" t="s">
        <v>115</v>
      </c>
      <c r="N42" s="11" t="s">
        <v>116</v>
      </c>
      <c r="O42" s="11" t="s">
        <v>117</v>
      </c>
    </row>
    <row r="43" spans="6:16" x14ac:dyDescent="0.55000000000000004">
      <c r="G43" s="38" t="str">
        <f>G6</f>
        <v>Growth in Capacity Utilization/Growth of Demand for Electricity</v>
      </c>
      <c r="H43" s="143" t="str">
        <f>H6</f>
        <v>(%)</v>
      </c>
      <c r="I43" s="160">
        <f>I6</f>
        <v>0.09</v>
      </c>
      <c r="J43" s="148">
        <f>'4a.FAnalysis'!$C$22</f>
        <v>16122.010506924267</v>
      </c>
      <c r="K43" s="200">
        <f>'4a.FAnalysis'!$C$23</f>
        <v>1.0095855764825474</v>
      </c>
      <c r="L43" s="149">
        <f>'4a.FAnalysis'!$C$24</f>
        <v>0.13047876395441471</v>
      </c>
      <c r="M43" s="41">
        <f>'7a.EAnalysis'!$C$28</f>
        <v>153295.07628453986</v>
      </c>
      <c r="N43" s="200">
        <f>'7a.EAnalysis'!$C$29</f>
        <v>1.1048153968834209</v>
      </c>
      <c r="O43" s="144">
        <f>'7a.EAnalysis'!$C$30</f>
        <v>0.21466065145332647</v>
      </c>
      <c r="P43" s="198" t="s">
        <v>171</v>
      </c>
    </row>
    <row r="44" spans="6:16" x14ac:dyDescent="0.55000000000000004">
      <c r="I44" s="324">
        <v>7.0000000000000007E-2</v>
      </c>
      <c r="J44" s="150">
        <f t="dataTable" ref="J44:O48" dt2D="0" dtr="0" r1="I6" ca="1"/>
        <v>14923.367321453918</v>
      </c>
      <c r="K44" s="195">
        <v>1.0089264576410228</v>
      </c>
      <c r="L44" s="151">
        <v>0.12968540708978971</v>
      </c>
      <c r="M44" s="39">
        <v>151326.84603123032</v>
      </c>
      <c r="N44" s="195">
        <v>1.1040941062256946</v>
      </c>
      <c r="O44" s="145">
        <v>0.21327980086904774</v>
      </c>
    </row>
    <row r="45" spans="6:16" x14ac:dyDescent="0.55000000000000004">
      <c r="I45" s="324">
        <v>0.08</v>
      </c>
      <c r="J45" s="150">
        <v>15673.284988040481</v>
      </c>
      <c r="K45" s="195">
        <v>1.0093397561721982</v>
      </c>
      <c r="L45" s="151">
        <v>0.13018059446657149</v>
      </c>
      <c r="M45" s="39">
        <v>152558.24721613573</v>
      </c>
      <c r="N45" s="195">
        <v>1.1045463894113783</v>
      </c>
      <c r="O45" s="145">
        <v>0.21412962739481545</v>
      </c>
    </row>
    <row r="46" spans="6:16" x14ac:dyDescent="0.55000000000000004">
      <c r="I46" s="324">
        <v>0.09</v>
      </c>
      <c r="J46" s="150">
        <v>16122.010506924267</v>
      </c>
      <c r="K46" s="195">
        <v>1.0095855764825474</v>
      </c>
      <c r="L46" s="151">
        <v>0.13047876395441471</v>
      </c>
      <c r="M46" s="39">
        <v>153295.07628453986</v>
      </c>
      <c r="N46" s="195">
        <v>1.1048153968834209</v>
      </c>
      <c r="O46" s="145">
        <v>0.21466065145332647</v>
      </c>
    </row>
    <row r="47" spans="6:16" x14ac:dyDescent="0.55000000000000004">
      <c r="I47" s="324">
        <v>0.1</v>
      </c>
      <c r="J47" s="150">
        <v>16573.463840512482</v>
      </c>
      <c r="K47" s="195">
        <v>1.0098317793976355</v>
      </c>
      <c r="L47" s="151">
        <v>0.13077910549010086</v>
      </c>
      <c r="M47" s="39">
        <v>154036.38455700732</v>
      </c>
      <c r="N47" s="195">
        <v>1.1050848230496453</v>
      </c>
      <c r="O47" s="145">
        <v>0.21519524809765178</v>
      </c>
    </row>
    <row r="48" spans="6:16" x14ac:dyDescent="0.55000000000000004">
      <c r="G48" s="187"/>
      <c r="H48" s="146"/>
      <c r="I48" s="325">
        <v>0.11</v>
      </c>
      <c r="J48" s="152">
        <v>17027.644988805187</v>
      </c>
      <c r="K48" s="203">
        <v>1.0100783522970789</v>
      </c>
      <c r="L48" s="153">
        <v>0.13108162420228342</v>
      </c>
      <c r="M48" s="44">
        <v>154782.17203353797</v>
      </c>
      <c r="N48" s="203">
        <v>1.1053546540992412</v>
      </c>
      <c r="O48" s="121">
        <v>0.21573341764853993</v>
      </c>
    </row>
    <row r="49" spans="7:18" x14ac:dyDescent="0.55000000000000004">
      <c r="G49" s="359" t="s">
        <v>119</v>
      </c>
      <c r="H49" s="133"/>
      <c r="I49" s="361" t="s">
        <v>79</v>
      </c>
      <c r="J49" s="363" t="s">
        <v>98</v>
      </c>
      <c r="K49" s="364"/>
      <c r="L49" s="365"/>
      <c r="M49" s="366" t="s">
        <v>99</v>
      </c>
      <c r="N49" s="366"/>
      <c r="O49" s="366"/>
    </row>
    <row r="50" spans="7:18" x14ac:dyDescent="0.55000000000000004">
      <c r="G50" s="360"/>
      <c r="H50" s="133"/>
      <c r="I50" s="362"/>
      <c r="J50" s="168" t="s">
        <v>115</v>
      </c>
      <c r="K50" s="81" t="s">
        <v>116</v>
      </c>
      <c r="L50" s="169" t="s">
        <v>117</v>
      </c>
      <c r="M50" s="81" t="s">
        <v>115</v>
      </c>
      <c r="N50" s="81" t="s">
        <v>116</v>
      </c>
      <c r="O50" s="81" t="s">
        <v>117</v>
      </c>
    </row>
    <row r="51" spans="7:18" x14ac:dyDescent="0.55000000000000004">
      <c r="G51" s="38" t="str">
        <f>G17</f>
        <v>Cost of Electricity Produced Privately per kWh</v>
      </c>
      <c r="H51" s="143" t="str">
        <f>H17</f>
        <v>(BDT/kWh)</v>
      </c>
      <c r="I51" s="161">
        <f>I17</f>
        <v>12</v>
      </c>
      <c r="J51" s="148">
        <f>'4a.FAnalysis'!$C$22</f>
        <v>16122.010506924267</v>
      </c>
      <c r="K51" s="200">
        <f>'4a.FAnalysis'!$C$23</f>
        <v>1.0095855764825474</v>
      </c>
      <c r="L51" s="149">
        <f>'4a.FAnalysis'!$C$24</f>
        <v>0.13047876395441471</v>
      </c>
      <c r="M51" s="41">
        <f>'7a.EAnalysis'!$C$28</f>
        <v>153295.07628453986</v>
      </c>
      <c r="N51" s="200">
        <f>'7a.EAnalysis'!$C$29</f>
        <v>1.1048153968834209</v>
      </c>
      <c r="O51" s="144">
        <f>'7a.EAnalysis'!$C$30</f>
        <v>0.21466065145332647</v>
      </c>
      <c r="P51" s="198" t="s">
        <v>171</v>
      </c>
    </row>
    <row r="52" spans="7:18" x14ac:dyDescent="0.55000000000000004">
      <c r="I52" s="326">
        <v>10</v>
      </c>
      <c r="J52" s="154">
        <f t="dataTable" ref="J52:O56" dt2D="0" dtr="0" r1="I17" ca="1"/>
        <v>16122.010506924267</v>
      </c>
      <c r="K52" s="195">
        <v>1.0095855764825474</v>
      </c>
      <c r="L52" s="151">
        <v>0.13047876395441471</v>
      </c>
      <c r="M52" s="39">
        <v>82775.614657551996</v>
      </c>
      <c r="N52" s="195">
        <v>1.0565977663007007</v>
      </c>
      <c r="O52" s="145">
        <v>0.17561161579832896</v>
      </c>
    </row>
    <row r="53" spans="7:18" x14ac:dyDescent="0.55000000000000004">
      <c r="I53" s="326">
        <v>11</v>
      </c>
      <c r="J53" s="154">
        <v>16122.010506924267</v>
      </c>
      <c r="K53" s="195">
        <v>1.0095855764825474</v>
      </c>
      <c r="L53" s="151">
        <v>0.13047876395441471</v>
      </c>
      <c r="M53" s="39">
        <v>118035.34547104598</v>
      </c>
      <c r="N53" s="195">
        <v>1.0807065815920609</v>
      </c>
      <c r="O53" s="145">
        <v>0.19584958780083284</v>
      </c>
    </row>
    <row r="54" spans="7:18" x14ac:dyDescent="0.55000000000000004">
      <c r="I54" s="326">
        <v>12</v>
      </c>
      <c r="J54" s="154">
        <v>16122.010506924267</v>
      </c>
      <c r="K54" s="195">
        <v>1.0095855764825474</v>
      </c>
      <c r="L54" s="151">
        <v>0.13047876395441471</v>
      </c>
      <c r="M54" s="39">
        <v>153295.07628453986</v>
      </c>
      <c r="N54" s="195">
        <v>1.1048153968834209</v>
      </c>
      <c r="O54" s="145">
        <v>0.21466065145332647</v>
      </c>
    </row>
    <row r="55" spans="7:18" x14ac:dyDescent="0.55000000000000004">
      <c r="I55" s="326">
        <v>13</v>
      </c>
      <c r="J55" s="154">
        <v>16122.010506924267</v>
      </c>
      <c r="K55" s="195">
        <v>1.0095855764825474</v>
      </c>
      <c r="L55" s="151">
        <v>0.13047876395441471</v>
      </c>
      <c r="M55" s="39">
        <v>188554.80709803425</v>
      </c>
      <c r="N55" s="195">
        <v>1.1289242121747816</v>
      </c>
      <c r="O55" s="145">
        <v>0.23229613605967736</v>
      </c>
    </row>
    <row r="56" spans="7:18" x14ac:dyDescent="0.55000000000000004">
      <c r="G56" s="187"/>
      <c r="H56" s="146"/>
      <c r="I56" s="327">
        <v>14</v>
      </c>
      <c r="J56" s="155">
        <v>16122.010506924267</v>
      </c>
      <c r="K56" s="203">
        <v>1.0095855764825474</v>
      </c>
      <c r="L56" s="153">
        <v>0.13047876395441471</v>
      </c>
      <c r="M56" s="44">
        <v>223814.53791152826</v>
      </c>
      <c r="N56" s="203">
        <v>1.1530330274661422</v>
      </c>
      <c r="O56" s="121">
        <v>0.24893834131065185</v>
      </c>
    </row>
    <row r="57" spans="7:18" x14ac:dyDescent="0.55000000000000004">
      <c r="G57" s="359" t="s">
        <v>119</v>
      </c>
      <c r="H57" s="133"/>
      <c r="I57" s="361" t="s">
        <v>79</v>
      </c>
      <c r="J57" s="367" t="s">
        <v>98</v>
      </c>
      <c r="K57" s="366"/>
      <c r="L57" s="368"/>
      <c r="M57" s="366" t="s">
        <v>99</v>
      </c>
      <c r="N57" s="366"/>
      <c r="O57" s="366"/>
    </row>
    <row r="58" spans="7:18" x14ac:dyDescent="0.55000000000000004">
      <c r="G58" s="360"/>
      <c r="H58" s="133"/>
      <c r="I58" s="362"/>
      <c r="J58" s="168" t="s">
        <v>115</v>
      </c>
      <c r="K58" s="81" t="s">
        <v>116</v>
      </c>
      <c r="L58" s="169" t="s">
        <v>117</v>
      </c>
      <c r="M58" s="81" t="s">
        <v>115</v>
      </c>
      <c r="N58" s="81" t="s">
        <v>116</v>
      </c>
      <c r="O58" s="81" t="s">
        <v>117</v>
      </c>
    </row>
    <row r="59" spans="7:18" x14ac:dyDescent="0.55000000000000004">
      <c r="G59" s="38" t="str">
        <f>G19</f>
        <v>Reduction in Load Shedding per day</v>
      </c>
      <c r="H59" s="147" t="str">
        <f>H19</f>
        <v>(mins/day)</v>
      </c>
      <c r="I59" s="159">
        <f>I19</f>
        <v>12</v>
      </c>
      <c r="J59" s="156">
        <f>'4a.FAnalysis'!$C$22</f>
        <v>16122.010506924267</v>
      </c>
      <c r="K59" s="200">
        <f>'4a.FAnalysis'!$C$23</f>
        <v>1.0095855764825474</v>
      </c>
      <c r="L59" s="149">
        <f>'4a.FAnalysis'!$C$24</f>
        <v>0.13047876395441471</v>
      </c>
      <c r="M59" s="41">
        <f>'7a.EAnalysis'!$C$28</f>
        <v>153295.07628453986</v>
      </c>
      <c r="N59" s="200">
        <f>'7a.EAnalysis'!$C$29</f>
        <v>1.1048153968834209</v>
      </c>
      <c r="O59" s="144">
        <f>'7a.EAnalysis'!$C$30</f>
        <v>0.21466065145332647</v>
      </c>
      <c r="P59" s="198" t="s">
        <v>171</v>
      </c>
      <c r="Q59" s="129"/>
      <c r="R59" s="80"/>
    </row>
    <row r="60" spans="7:18" x14ac:dyDescent="0.55000000000000004">
      <c r="I60" s="328">
        <v>2</v>
      </c>
      <c r="J60" s="154">
        <f t="dataTable" ref="J60:O64" dt2D="0" dtr="0" r1="I19" ca="1"/>
        <v>16122.010506924267</v>
      </c>
      <c r="K60" s="195">
        <v>1.0095855764825474</v>
      </c>
      <c r="L60" s="157">
        <v>0.13047876395441471</v>
      </c>
      <c r="M60" s="39">
        <v>152952.96658735006</v>
      </c>
      <c r="N60" s="195">
        <v>1.1045814796268609</v>
      </c>
      <c r="O60" s="145">
        <v>0.21448412432803998</v>
      </c>
    </row>
    <row r="61" spans="7:18" x14ac:dyDescent="0.55000000000000004">
      <c r="I61" s="328">
        <v>7</v>
      </c>
      <c r="J61" s="154">
        <v>16122.010506924267</v>
      </c>
      <c r="K61" s="195">
        <v>1.0095855764825474</v>
      </c>
      <c r="L61" s="157">
        <v>0.13047876395441471</v>
      </c>
      <c r="M61" s="39">
        <v>153124.02143594515</v>
      </c>
      <c r="N61" s="195">
        <v>1.1046984382551408</v>
      </c>
      <c r="O61" s="145">
        <v>0.21457240167092739</v>
      </c>
    </row>
    <row r="62" spans="7:18" x14ac:dyDescent="0.55000000000000004">
      <c r="I62" s="328">
        <v>12</v>
      </c>
      <c r="J62" s="154">
        <v>16122.010506924267</v>
      </c>
      <c r="K62" s="195">
        <v>1.0095855764825474</v>
      </c>
      <c r="L62" s="157">
        <v>0.13047876395441471</v>
      </c>
      <c r="M62" s="39">
        <v>153295.07628453986</v>
      </c>
      <c r="N62" s="195">
        <v>1.1048153968834209</v>
      </c>
      <c r="O62" s="145">
        <v>0.21466065145332647</v>
      </c>
    </row>
    <row r="63" spans="7:18" x14ac:dyDescent="0.55000000000000004">
      <c r="I63" s="328">
        <v>17</v>
      </c>
      <c r="J63" s="154">
        <v>16122.010506924267</v>
      </c>
      <c r="K63" s="195">
        <v>1.0095855764825474</v>
      </c>
      <c r="L63" s="157">
        <v>0.13047876395441471</v>
      </c>
      <c r="M63" s="39">
        <v>153466.13113313491</v>
      </c>
      <c r="N63" s="195">
        <v>1.104932355511701</v>
      </c>
      <c r="O63" s="145">
        <v>0.21474887369911744</v>
      </c>
    </row>
    <row r="64" spans="7:18" x14ac:dyDescent="0.55000000000000004">
      <c r="G64" s="187"/>
      <c r="H64" s="146"/>
      <c r="I64" s="329">
        <v>22</v>
      </c>
      <c r="J64" s="155">
        <v>16122.010506924267</v>
      </c>
      <c r="K64" s="203">
        <v>1.0095855764825474</v>
      </c>
      <c r="L64" s="158">
        <v>0.13047876395441471</v>
      </c>
      <c r="M64" s="44">
        <v>153637.18598172997</v>
      </c>
      <c r="N64" s="203">
        <v>1.1050493141399811</v>
      </c>
      <c r="O64" s="121">
        <v>0.21483706843214434</v>
      </c>
    </row>
    <row r="65" spans="7:16" x14ac:dyDescent="0.55000000000000004">
      <c r="G65" s="359" t="s">
        <v>119</v>
      </c>
      <c r="H65" s="133"/>
      <c r="I65" s="361" t="s">
        <v>79</v>
      </c>
      <c r="J65" s="367" t="s">
        <v>98</v>
      </c>
      <c r="K65" s="366"/>
      <c r="L65" s="368"/>
      <c r="M65" s="366" t="s">
        <v>99</v>
      </c>
      <c r="N65" s="366"/>
      <c r="O65" s="366"/>
    </row>
    <row r="66" spans="7:16" x14ac:dyDescent="0.55000000000000004">
      <c r="G66" s="360"/>
      <c r="H66" s="133"/>
      <c r="I66" s="362"/>
      <c r="J66" s="168" t="s">
        <v>115</v>
      </c>
      <c r="K66" s="81" t="s">
        <v>116</v>
      </c>
      <c r="L66" s="169" t="s">
        <v>117</v>
      </c>
      <c r="M66" s="81" t="s">
        <v>115</v>
      </c>
      <c r="N66" s="81" t="s">
        <v>116</v>
      </c>
      <c r="O66" s="81" t="s">
        <v>117</v>
      </c>
    </row>
    <row r="67" spans="7:16" x14ac:dyDescent="0.55000000000000004">
      <c r="G67" s="38" t="str">
        <f>G16</f>
        <v>Average Cost of Input (Purchase rate + Wheeling charge) per KWh</v>
      </c>
      <c r="H67" s="143" t="str">
        <f>H16</f>
        <v>(BDT/kWh)</v>
      </c>
      <c r="I67" s="162">
        <f>I16</f>
        <v>6.75</v>
      </c>
      <c r="J67" s="156">
        <f>'4a.FAnalysis'!$C$22</f>
        <v>16122.010506924267</v>
      </c>
      <c r="K67" s="200">
        <f>'4a.FAnalysis'!$C$23</f>
        <v>1.0095855764825474</v>
      </c>
      <c r="L67" s="149">
        <f>'4a.FAnalysis'!$C$24</f>
        <v>0.13047876395441471</v>
      </c>
      <c r="M67" s="41">
        <f>'7a.EAnalysis'!$C$28</f>
        <v>153295.07628453986</v>
      </c>
      <c r="N67" s="200">
        <f>'7a.EAnalysis'!$C$29</f>
        <v>1.1048153968834209</v>
      </c>
      <c r="O67" s="144">
        <f>'7a.EAnalysis'!$C$30</f>
        <v>0.21466065145332647</v>
      </c>
      <c r="P67" s="198" t="s">
        <v>171</v>
      </c>
    </row>
    <row r="68" spans="7:16" x14ac:dyDescent="0.55000000000000004">
      <c r="I68" s="330">
        <v>7</v>
      </c>
      <c r="J68" s="154">
        <f t="dataTable" ref="J68:O72" dt2D="0" dtr="0" r1="I16" ca="1"/>
        <v>-40090.163753430534</v>
      </c>
      <c r="K68" s="195">
        <v>0.97693469181507864</v>
      </c>
      <c r="L68" s="151">
        <v>9.1098078863280696E-2</v>
      </c>
      <c r="M68" s="39">
        <v>104414.92475379653</v>
      </c>
      <c r="N68" s="195">
        <v>1.0690846961456337</v>
      </c>
      <c r="O68" s="145">
        <v>0.18821786434716925</v>
      </c>
    </row>
    <row r="69" spans="7:16" x14ac:dyDescent="0.55000000000000004">
      <c r="I69" s="330">
        <v>7.25</v>
      </c>
      <c r="J69" s="154">
        <v>-96302.338013785266</v>
      </c>
      <c r="K69" s="195">
        <v>0.94632956223161824</v>
      </c>
      <c r="L69" s="151">
        <v>3.8826380308954134E-2</v>
      </c>
      <c r="M69" s="39">
        <v>55534.773223052907</v>
      </c>
      <c r="N69" s="195">
        <v>1.035592717679354</v>
      </c>
      <c r="O69" s="145">
        <v>0.15877422311506684</v>
      </c>
    </row>
    <row r="70" spans="7:16" x14ac:dyDescent="0.55000000000000004">
      <c r="I70" s="330">
        <v>7.5</v>
      </c>
      <c r="J70" s="154">
        <v>-152514.51227414032</v>
      </c>
      <c r="K70" s="195">
        <v>0.91758376155392762</v>
      </c>
      <c r="L70" s="151">
        <v>-6.8187722496041547E-2</v>
      </c>
      <c r="M70" s="39">
        <v>6654.6216923095826</v>
      </c>
      <c r="N70" s="195">
        <v>1.0041354505350437</v>
      </c>
      <c r="O70" s="145">
        <v>0.12504248403043738</v>
      </c>
    </row>
    <row r="71" spans="7:16" x14ac:dyDescent="0.55000000000000004">
      <c r="I71" s="330">
        <v>7.75</v>
      </c>
      <c r="J71" s="154">
        <v>-208726.68653449506</v>
      </c>
      <c r="K71" s="195">
        <v>0.89053284742149064</v>
      </c>
      <c r="L71" s="151" t="str">
        <v xml:space="preserve">        n/a</v>
      </c>
      <c r="M71" s="39">
        <v>-42225.529838433788</v>
      </c>
      <c r="N71" s="195">
        <v>0.97453294121888145</v>
      </c>
      <c r="O71" s="145">
        <v>8.4321098229960478E-2</v>
      </c>
    </row>
    <row r="72" spans="7:16" x14ac:dyDescent="0.55000000000000004">
      <c r="G72" s="187"/>
      <c r="H72" s="146"/>
      <c r="I72" s="331">
        <v>8</v>
      </c>
      <c r="J72" s="155">
        <v>-264938.86079484993</v>
      </c>
      <c r="K72" s="203">
        <v>0.86503121360711721</v>
      </c>
      <c r="L72" s="153" t="str">
        <v xml:space="preserve">        n/a</v>
      </c>
      <c r="M72" s="44">
        <v>-91105.68136917692</v>
      </c>
      <c r="N72" s="203">
        <v>0.94662584910098047</v>
      </c>
      <c r="O72" s="121">
        <v>2.8743910205121237E-2</v>
      </c>
    </row>
    <row r="73" spans="7:16" x14ac:dyDescent="0.55000000000000004">
      <c r="G73" s="359" t="s">
        <v>119</v>
      </c>
      <c r="H73" s="133"/>
      <c r="I73" s="361" t="s">
        <v>79</v>
      </c>
      <c r="J73" s="367" t="s">
        <v>98</v>
      </c>
      <c r="K73" s="366"/>
      <c r="L73" s="368"/>
      <c r="M73" s="366" t="s">
        <v>99</v>
      </c>
      <c r="N73" s="366"/>
      <c r="O73" s="366"/>
    </row>
    <row r="74" spans="7:16" x14ac:dyDescent="0.55000000000000004">
      <c r="G74" s="360"/>
      <c r="H74" s="133"/>
      <c r="I74" s="362"/>
      <c r="J74" s="168" t="s">
        <v>115</v>
      </c>
      <c r="K74" s="81" t="s">
        <v>116</v>
      </c>
      <c r="L74" s="169" t="s">
        <v>117</v>
      </c>
      <c r="M74" s="81" t="s">
        <v>115</v>
      </c>
      <c r="N74" s="81" t="s">
        <v>116</v>
      </c>
      <c r="O74" s="81" t="s">
        <v>117</v>
      </c>
    </row>
    <row r="75" spans="7:16" x14ac:dyDescent="0.55000000000000004">
      <c r="G75" s="38" t="str">
        <f>G15</f>
        <v>Average Sales Rate per kWh</v>
      </c>
      <c r="H75" s="143" t="str">
        <f>H15</f>
        <v>(BDT/kWh)</v>
      </c>
      <c r="I75" s="162">
        <f>I15</f>
        <v>8.0500000000000007</v>
      </c>
      <c r="J75" s="156">
        <f>'4a.FAnalysis'!$C$22</f>
        <v>16122.010506924267</v>
      </c>
      <c r="K75" s="200">
        <f>'4a.FAnalysis'!$C$23</f>
        <v>1.0095855764825474</v>
      </c>
      <c r="L75" s="149">
        <f>'4a.FAnalysis'!$C$24</f>
        <v>0.13047876395441471</v>
      </c>
      <c r="M75" s="41">
        <f>'7a.EAnalysis'!$C$28</f>
        <v>153295.07628453986</v>
      </c>
      <c r="N75" s="200">
        <f>'7a.EAnalysis'!$C$29</f>
        <v>1.1048153968834209</v>
      </c>
      <c r="O75" s="144">
        <f>'7a.EAnalysis'!$C$30</f>
        <v>0.21466065145332647</v>
      </c>
      <c r="P75" s="198" t="s">
        <v>171</v>
      </c>
    </row>
    <row r="76" spans="7:16" x14ac:dyDescent="0.55000000000000004">
      <c r="I76" s="330">
        <v>7.56</v>
      </c>
      <c r="J76" s="154">
        <f t="dataTable" ref="J76:O80" dt2D="0" dtr="0" r1="I15" ca="1"/>
        <v>-87236.037828625122</v>
      </c>
      <c r="K76" s="195">
        <v>0.94813254139230563</v>
      </c>
      <c r="L76" s="151">
        <v>4.8742765543892341E-2</v>
      </c>
      <c r="M76" s="39">
        <v>80695.780613109178</v>
      </c>
      <c r="N76" s="195">
        <v>1.0551756812859459</v>
      </c>
      <c r="O76" s="145">
        <v>0.17436624534666278</v>
      </c>
    </row>
    <row r="77" spans="7:16" x14ac:dyDescent="0.55000000000000004">
      <c r="I77" s="330">
        <v>7.81</v>
      </c>
      <c r="J77" s="154">
        <v>-34502.339698242766</v>
      </c>
      <c r="K77" s="195">
        <v>0.97948613072406199</v>
      </c>
      <c r="L77" s="151">
        <v>9.5421449958445814E-2</v>
      </c>
      <c r="M77" s="39">
        <v>117736.23758832911</v>
      </c>
      <c r="N77" s="195">
        <v>1.0805020667948619</v>
      </c>
      <c r="O77" s="145">
        <v>0.19568432945877778</v>
      </c>
    </row>
    <row r="78" spans="7:16" x14ac:dyDescent="0.55000000000000004">
      <c r="I78" s="330">
        <v>8.0599999999999987</v>
      </c>
      <c r="J78" s="154">
        <v>18231.35843213927</v>
      </c>
      <c r="K78" s="195">
        <v>1.0108397200558177</v>
      </c>
      <c r="L78" s="151">
        <v>0.13181052533014315</v>
      </c>
      <c r="M78" s="39">
        <v>154776.69456354863</v>
      </c>
      <c r="N78" s="195">
        <v>1.1058284523037778</v>
      </c>
      <c r="O78" s="145">
        <v>0.21542389105058524</v>
      </c>
    </row>
    <row r="79" spans="7:16" x14ac:dyDescent="0.55000000000000004">
      <c r="I79" s="330">
        <v>8.3099999999999987</v>
      </c>
      <c r="J79" s="154">
        <v>70965.056562521611</v>
      </c>
      <c r="K79" s="195">
        <v>1.0421933093875737</v>
      </c>
      <c r="L79" s="151">
        <v>0.16269495639671949</v>
      </c>
      <c r="M79" s="39">
        <v>191817.1515387684</v>
      </c>
      <c r="N79" s="195">
        <v>1.1311548378126939</v>
      </c>
      <c r="O79" s="145">
        <v>0.2338752499839063</v>
      </c>
    </row>
    <row r="80" spans="7:16" x14ac:dyDescent="0.55000000000000004">
      <c r="I80" s="330">
        <v>8.5599999999999987</v>
      </c>
      <c r="J80" s="154">
        <v>123698.75469290394</v>
      </c>
      <c r="K80" s="195">
        <v>1.0735468987193302</v>
      </c>
      <c r="L80" s="151">
        <v>0.1900021473511091</v>
      </c>
      <c r="M80" s="39">
        <v>228857.60851398812</v>
      </c>
      <c r="N80" s="195">
        <v>1.15648122332161</v>
      </c>
      <c r="O80" s="145">
        <v>0.25124589304311162</v>
      </c>
    </row>
    <row r="81" spans="7:16" x14ac:dyDescent="0.55000000000000004">
      <c r="G81" s="359" t="s">
        <v>119</v>
      </c>
      <c r="H81" s="164"/>
      <c r="I81" s="361" t="s">
        <v>79</v>
      </c>
      <c r="J81" s="363" t="s">
        <v>98</v>
      </c>
      <c r="K81" s="364"/>
      <c r="L81" s="365"/>
      <c r="M81" s="364" t="s">
        <v>99</v>
      </c>
      <c r="N81" s="364"/>
      <c r="O81" s="364"/>
    </row>
    <row r="82" spans="7:16" x14ac:dyDescent="0.55000000000000004">
      <c r="G82" s="360"/>
      <c r="H82" s="165"/>
      <c r="I82" s="362"/>
      <c r="J82" s="166" t="s">
        <v>115</v>
      </c>
      <c r="K82" s="11" t="s">
        <v>116</v>
      </c>
      <c r="L82" s="167" t="s">
        <v>117</v>
      </c>
      <c r="M82" s="11" t="s">
        <v>115</v>
      </c>
      <c r="N82" s="11" t="s">
        <v>116</v>
      </c>
      <c r="O82" s="11" t="s">
        <v>117</v>
      </c>
    </row>
    <row r="83" spans="7:16" x14ac:dyDescent="0.55000000000000004">
      <c r="G83" s="38" t="str">
        <f>G12</f>
        <v>System Loss</v>
      </c>
      <c r="H83" s="143" t="str">
        <f>H12</f>
        <v>(%)</v>
      </c>
      <c r="I83" s="163">
        <f>I12</f>
        <v>5.2499999999999998E-2</v>
      </c>
      <c r="J83" s="156">
        <f>'4a.FAnalysis'!$C$22</f>
        <v>16122.010506924267</v>
      </c>
      <c r="K83" s="200">
        <f>'4a.FAnalysis'!$C$23</f>
        <v>1.0095855764825474</v>
      </c>
      <c r="L83" s="149">
        <f>'4a.FAnalysis'!$C$24</f>
        <v>0.13047876395441471</v>
      </c>
      <c r="M83" s="41">
        <f>'7a.EAnalysis'!$C$28</f>
        <v>153295.07628453986</v>
      </c>
      <c r="N83" s="200">
        <f>'7a.EAnalysis'!$C$29</f>
        <v>1.1048153968834209</v>
      </c>
      <c r="O83" s="144">
        <f>'7a.EAnalysis'!$C$30</f>
        <v>0.21466065145332647</v>
      </c>
      <c r="P83" s="198" t="s">
        <v>171</v>
      </c>
    </row>
    <row r="84" spans="7:16" x14ac:dyDescent="0.55000000000000004">
      <c r="I84" s="332">
        <v>6.7500000000000004E-2</v>
      </c>
      <c r="J84" s="154">
        <f t="dataTable" ref="J84:O88" dt2D="0" dtr="0" r1="I12" ca="1"/>
        <v>-10759.653025502821</v>
      </c>
      <c r="K84" s="195">
        <v>0.99360269136672896</v>
      </c>
      <c r="L84" s="151">
        <v>0.11268134665285023</v>
      </c>
      <c r="M84" s="39">
        <v>127721.31977698255</v>
      </c>
      <c r="N84" s="195">
        <v>1.0873293594769482</v>
      </c>
      <c r="O84" s="145">
        <v>0.20114696751986472</v>
      </c>
    </row>
    <row r="85" spans="7:16" x14ac:dyDescent="0.55000000000000004">
      <c r="I85" s="332">
        <v>7.0000000000000007E-2</v>
      </c>
      <c r="J85" s="154">
        <v>-15239.930280907098</v>
      </c>
      <c r="K85" s="195">
        <v>0.99093887718075935</v>
      </c>
      <c r="L85" s="151">
        <v>0.10954823658468582</v>
      </c>
      <c r="M85" s="39">
        <v>123459.02702572313</v>
      </c>
      <c r="N85" s="195">
        <v>1.0844150199092029</v>
      </c>
      <c r="O85" s="145">
        <v>0.1988286703394051</v>
      </c>
    </row>
    <row r="86" spans="7:16" x14ac:dyDescent="0.55000000000000004">
      <c r="I86" s="332">
        <v>7.2500000000000009E-2</v>
      </c>
      <c r="J86" s="154">
        <v>-19720.207536311587</v>
      </c>
      <c r="K86" s="195">
        <v>0.9882750629947894</v>
      </c>
      <c r="L86" s="151">
        <v>0.10636092048952306</v>
      </c>
      <c r="M86" s="39">
        <v>119196.73427446351</v>
      </c>
      <c r="N86" s="195">
        <v>1.0815006803414571</v>
      </c>
      <c r="O86" s="145">
        <v>0.19649029432588305</v>
      </c>
    </row>
    <row r="87" spans="7:16" x14ac:dyDescent="0.55000000000000004">
      <c r="I87" s="332">
        <v>7.5000000000000011E-2</v>
      </c>
      <c r="J87" s="154">
        <v>-24200.48479171635</v>
      </c>
      <c r="K87" s="195">
        <v>0.98561124880881923</v>
      </c>
      <c r="L87" s="151">
        <v>0.1031164600970198</v>
      </c>
      <c r="M87" s="39">
        <v>114934.44152320361</v>
      </c>
      <c r="N87" s="195">
        <v>1.0785863407737115</v>
      </c>
      <c r="O87" s="145">
        <v>0.19413133814276273</v>
      </c>
    </row>
    <row r="88" spans="7:16" x14ac:dyDescent="0.55000000000000004">
      <c r="G88" s="187"/>
      <c r="H88" s="146"/>
      <c r="I88" s="333">
        <v>7.7499999999999999E-2</v>
      </c>
      <c r="J88" s="155">
        <v>-28680.762047120872</v>
      </c>
      <c r="K88" s="203">
        <v>0.98294743462284984</v>
      </c>
      <c r="L88" s="153">
        <v>9.9811644560588109E-2</v>
      </c>
      <c r="M88" s="44">
        <v>110672.14877194422</v>
      </c>
      <c r="N88" s="203">
        <v>1.075672001205966</v>
      </c>
      <c r="O88" s="121">
        <v>0.19175127791248348</v>
      </c>
    </row>
    <row r="89" spans="7:16" x14ac:dyDescent="0.55000000000000004">
      <c r="G89" s="359" t="s">
        <v>119</v>
      </c>
      <c r="H89" s="164"/>
      <c r="I89" s="361" t="s">
        <v>79</v>
      </c>
      <c r="J89" s="363" t="s">
        <v>98</v>
      </c>
      <c r="K89" s="364"/>
      <c r="L89" s="365"/>
      <c r="M89" s="364" t="s">
        <v>99</v>
      </c>
      <c r="N89" s="364"/>
      <c r="O89" s="364"/>
    </row>
    <row r="90" spans="7:16" x14ac:dyDescent="0.55000000000000004">
      <c r="G90" s="360"/>
      <c r="H90" s="165"/>
      <c r="I90" s="362"/>
      <c r="J90" s="166" t="s">
        <v>115</v>
      </c>
      <c r="K90" s="11" t="s">
        <v>116</v>
      </c>
      <c r="L90" s="167" t="s">
        <v>117</v>
      </c>
      <c r="M90" s="11" t="s">
        <v>115</v>
      </c>
      <c r="N90" s="11" t="s">
        <v>116</v>
      </c>
      <c r="O90" s="11" t="s">
        <v>117</v>
      </c>
    </row>
    <row r="91" spans="7:16" x14ac:dyDescent="0.55000000000000004">
      <c r="G91" s="25" t="str">
        <f>TRIM(B12)</f>
        <v>Financial Discount Rate</v>
      </c>
      <c r="H91" s="143" t="str">
        <f>C12</f>
        <v>(%)</v>
      </c>
      <c r="I91" s="199">
        <f>D12</f>
        <v>0.12</v>
      </c>
      <c r="J91" s="201">
        <f>'4a.FAnalysis'!$C$22</f>
        <v>16122.010506924267</v>
      </c>
      <c r="K91" s="200">
        <f>'4a.FAnalysis'!$C$23</f>
        <v>1.0095855764825474</v>
      </c>
      <c r="L91" s="149">
        <f>'4a.FAnalysis'!$C$24</f>
        <v>0.13047876395441471</v>
      </c>
      <c r="M91" s="41">
        <f>'7a.EAnalysis'!$C$28</f>
        <v>153295.07628453986</v>
      </c>
      <c r="N91" s="200">
        <f>'7a.EAnalysis'!$C$29</f>
        <v>1.1048153968834209</v>
      </c>
      <c r="O91" s="144">
        <f>'7a.EAnalysis'!$C$30</f>
        <v>0.21466065145332647</v>
      </c>
      <c r="P91" s="198" t="s">
        <v>171</v>
      </c>
    </row>
    <row r="92" spans="7:16" x14ac:dyDescent="0.55000000000000004">
      <c r="I92" s="334">
        <v>0.08</v>
      </c>
      <c r="J92" s="202">
        <f t="dataTable" ref="J92:O96" dt2D="0" dtr="0" r1="D12" ca="1"/>
        <v>115168.4344845883</v>
      </c>
      <c r="K92" s="195">
        <v>1.0429307297129362</v>
      </c>
      <c r="L92" s="157">
        <v>0.13047876395441471</v>
      </c>
      <c r="M92" s="39">
        <v>153295.07628453986</v>
      </c>
      <c r="N92" s="195">
        <v>1.1048153968834209</v>
      </c>
      <c r="O92" s="207">
        <v>0.21466065145332647</v>
      </c>
    </row>
    <row r="93" spans="7:16" x14ac:dyDescent="0.55000000000000004">
      <c r="I93" s="334">
        <v>0.1</v>
      </c>
      <c r="J93" s="202">
        <v>56682.900866230208</v>
      </c>
      <c r="K93" s="195">
        <v>1.0269430579292917</v>
      </c>
      <c r="L93" s="157">
        <v>0.13047876395441471</v>
      </c>
      <c r="M93" s="39">
        <v>153295.07628453986</v>
      </c>
      <c r="N93" s="195">
        <v>1.1048153968834209</v>
      </c>
      <c r="O93" s="207">
        <v>0.21466065145332647</v>
      </c>
    </row>
    <row r="94" spans="7:16" x14ac:dyDescent="0.55000000000000004">
      <c r="I94" s="334">
        <v>0.12</v>
      </c>
      <c r="J94" s="202">
        <v>16122.010506924267</v>
      </c>
      <c r="K94" s="195">
        <v>1.0095855764825474</v>
      </c>
      <c r="L94" s="157">
        <v>0.13047876395441471</v>
      </c>
      <c r="M94" s="39">
        <v>153295.07628453986</v>
      </c>
      <c r="N94" s="195">
        <v>1.1048153968834209</v>
      </c>
      <c r="O94" s="207">
        <v>0.21466065145332647</v>
      </c>
    </row>
    <row r="95" spans="7:16" x14ac:dyDescent="0.55000000000000004">
      <c r="I95" s="334">
        <v>0.14000000000000001</v>
      </c>
      <c r="J95" s="202">
        <v>-12278.511409325854</v>
      </c>
      <c r="K95" s="195">
        <v>0.99102394803985128</v>
      </c>
      <c r="L95" s="157">
        <v>0.13047876395441471</v>
      </c>
      <c r="M95" s="39">
        <v>153295.07628453986</v>
      </c>
      <c r="N95" s="195">
        <v>1.1048153968834209</v>
      </c>
      <c r="O95" s="207">
        <v>0.21466065145332647</v>
      </c>
    </row>
    <row r="96" spans="7:16" x14ac:dyDescent="0.55000000000000004">
      <c r="I96" s="334">
        <v>0.16</v>
      </c>
      <c r="J96" s="202">
        <v>-32282.222763482619</v>
      </c>
      <c r="K96" s="195">
        <v>0.97142404648714675</v>
      </c>
      <c r="L96" s="157">
        <v>0.13047876395441471</v>
      </c>
      <c r="M96" s="39">
        <v>153295.07628453986</v>
      </c>
      <c r="N96" s="195">
        <v>1.1048153968834209</v>
      </c>
      <c r="O96" s="207">
        <v>0.21466065145332647</v>
      </c>
    </row>
    <row r="97" spans="7:16" x14ac:dyDescent="0.55000000000000004">
      <c r="G97" s="359" t="s">
        <v>119</v>
      </c>
      <c r="H97" s="164"/>
      <c r="I97" s="361" t="s">
        <v>79</v>
      </c>
      <c r="J97" s="363" t="s">
        <v>98</v>
      </c>
      <c r="K97" s="364"/>
      <c r="L97" s="365"/>
      <c r="M97" s="364" t="s">
        <v>99</v>
      </c>
      <c r="N97" s="364"/>
      <c r="O97" s="364"/>
    </row>
    <row r="98" spans="7:16" x14ac:dyDescent="0.55000000000000004">
      <c r="G98" s="360"/>
      <c r="H98" s="165"/>
      <c r="I98" s="362"/>
      <c r="J98" s="166" t="s">
        <v>115</v>
      </c>
      <c r="K98" s="11" t="s">
        <v>116</v>
      </c>
      <c r="L98" s="167" t="s">
        <v>117</v>
      </c>
      <c r="M98" s="11" t="s">
        <v>115</v>
      </c>
      <c r="N98" s="11" t="s">
        <v>116</v>
      </c>
      <c r="O98" s="11" t="s">
        <v>117</v>
      </c>
    </row>
    <row r="99" spans="7:16" x14ac:dyDescent="0.55000000000000004">
      <c r="G99" s="38" t="str">
        <f>TRIM(B13)</f>
        <v>Economic (Social) Discount Rate</v>
      </c>
      <c r="H99" s="143" t="str">
        <f>C13</f>
        <v>(%)</v>
      </c>
      <c r="I99" s="199">
        <f>D13</f>
        <v>0.12</v>
      </c>
      <c r="J99" s="156">
        <f>'4a.FAnalysis'!$C$22</f>
        <v>16122.010506924267</v>
      </c>
      <c r="K99" s="200">
        <f>'4a.FAnalysis'!$C$23</f>
        <v>1.0095855764825474</v>
      </c>
      <c r="L99" s="149">
        <f>'4a.FAnalysis'!$C$24</f>
        <v>0.13047876395441471</v>
      </c>
      <c r="M99" s="204">
        <f>'7a.EAnalysis'!$C$28</f>
        <v>153295.07628453986</v>
      </c>
      <c r="N99" s="200">
        <f>'7a.EAnalysis'!$C$29</f>
        <v>1.1048153968834209</v>
      </c>
      <c r="O99" s="144">
        <f>'7a.EAnalysis'!$C$30</f>
        <v>0.21466065145332647</v>
      </c>
      <c r="P99" s="198" t="s">
        <v>171</v>
      </c>
    </row>
    <row r="100" spans="7:16" x14ac:dyDescent="0.55000000000000004">
      <c r="I100" s="334">
        <v>0.08</v>
      </c>
      <c r="J100" s="150">
        <f t="dataTable" ref="J100:O104" dt2D="0" dtr="0" r1="D13" ca="1"/>
        <v>16122.010506924267</v>
      </c>
      <c r="K100" s="195">
        <v>1.0095855764825474</v>
      </c>
      <c r="L100" s="151">
        <v>0.13047876395441471</v>
      </c>
      <c r="M100" s="205">
        <v>329630.58806429716</v>
      </c>
      <c r="N100" s="195">
        <v>1.1413058535208105</v>
      </c>
      <c r="O100" s="145">
        <v>0.21466065145332647</v>
      </c>
    </row>
    <row r="101" spans="7:16" x14ac:dyDescent="0.55000000000000004">
      <c r="I101" s="334">
        <v>0.1</v>
      </c>
      <c r="J101" s="150">
        <v>16122.010506924267</v>
      </c>
      <c r="K101" s="195">
        <v>1.0095855764825474</v>
      </c>
      <c r="L101" s="151">
        <v>0.13047876395441471</v>
      </c>
      <c r="M101" s="205">
        <v>226497.56475167588</v>
      </c>
      <c r="N101" s="195">
        <v>1.1238101341302562</v>
      </c>
      <c r="O101" s="145">
        <v>0.21466065145332647</v>
      </c>
    </row>
    <row r="102" spans="7:16" x14ac:dyDescent="0.55000000000000004">
      <c r="I102" s="334">
        <v>0.12</v>
      </c>
      <c r="J102" s="150">
        <v>16122.010506924267</v>
      </c>
      <c r="K102" s="195">
        <v>1.0095855764825474</v>
      </c>
      <c r="L102" s="151">
        <v>0.13047876395441471</v>
      </c>
      <c r="M102" s="205">
        <v>153295.07628453986</v>
      </c>
      <c r="N102" s="195">
        <v>1.1048153968834209</v>
      </c>
      <c r="O102" s="145">
        <v>0.21466065145332647</v>
      </c>
    </row>
    <row r="103" spans="7:16" x14ac:dyDescent="0.55000000000000004">
      <c r="I103" s="334">
        <v>0.14000000000000001</v>
      </c>
      <c r="J103" s="150">
        <v>16122.010506924267</v>
      </c>
      <c r="K103" s="195">
        <v>1.0095855764825474</v>
      </c>
      <c r="L103" s="151">
        <v>0.13047876395441471</v>
      </c>
      <c r="M103" s="205">
        <v>100515.79015769869</v>
      </c>
      <c r="N103" s="195">
        <v>1.0845029306869769</v>
      </c>
      <c r="O103" s="145">
        <v>0.21466065145332647</v>
      </c>
    </row>
    <row r="104" spans="7:16" x14ac:dyDescent="0.55000000000000004">
      <c r="G104" s="187"/>
      <c r="H104" s="146"/>
      <c r="I104" s="335">
        <v>0.16</v>
      </c>
      <c r="J104" s="152">
        <v>16122.010506924267</v>
      </c>
      <c r="K104" s="203">
        <v>1.0095855764825474</v>
      </c>
      <c r="L104" s="153">
        <v>0.13047876395441471</v>
      </c>
      <c r="M104" s="206">
        <v>61941.149657999456</v>
      </c>
      <c r="N104" s="203">
        <v>1.0630542555897426</v>
      </c>
      <c r="O104" s="121">
        <v>0.21466065145332647</v>
      </c>
    </row>
  </sheetData>
  <sheetProtection algorithmName="SHA-512" hashValue="NPGQa5B7PBGHt1BUDT+AhW5bvaVMaON/Olf8izzlRfYJk5DJZxNjwd6D4xIjgR5oFwX0ifkoG+reJSdwz7DGxA==" saltValue="pfcR4SbCJS07ovJ9YEZDow==" spinCount="100000" sheet="1" objects="1" scenarios="1" autoFilter="0"/>
  <mergeCells count="40">
    <mergeCell ref="I49:I50"/>
    <mergeCell ref="I57:I58"/>
    <mergeCell ref="I65:I66"/>
    <mergeCell ref="I73:I74"/>
    <mergeCell ref="I81:I82"/>
    <mergeCell ref="J41:L41"/>
    <mergeCell ref="M41:O41"/>
    <mergeCell ref="G25:G26"/>
    <mergeCell ref="J25:L25"/>
    <mergeCell ref="M25:O25"/>
    <mergeCell ref="G33:G34"/>
    <mergeCell ref="J33:L33"/>
    <mergeCell ref="M33:O33"/>
    <mergeCell ref="I25:I26"/>
    <mergeCell ref="I33:I34"/>
    <mergeCell ref="I41:I42"/>
    <mergeCell ref="J49:L49"/>
    <mergeCell ref="M49:O49"/>
    <mergeCell ref="J81:L81"/>
    <mergeCell ref="M81:O81"/>
    <mergeCell ref="G41:G42"/>
    <mergeCell ref="G49:G50"/>
    <mergeCell ref="G57:G58"/>
    <mergeCell ref="G65:G66"/>
    <mergeCell ref="G73:G74"/>
    <mergeCell ref="G81:G82"/>
    <mergeCell ref="J57:L57"/>
    <mergeCell ref="M57:O57"/>
    <mergeCell ref="J65:L65"/>
    <mergeCell ref="M65:O65"/>
    <mergeCell ref="J73:L73"/>
    <mergeCell ref="M73:O73"/>
    <mergeCell ref="G97:G98"/>
    <mergeCell ref="I97:I98"/>
    <mergeCell ref="J97:L97"/>
    <mergeCell ref="M97:O97"/>
    <mergeCell ref="G89:G90"/>
    <mergeCell ref="I89:I90"/>
    <mergeCell ref="J89:L89"/>
    <mergeCell ref="M89:O89"/>
  </mergeCells>
  <phoneticPr fontId="4"/>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A6E2CB-D4B0-4B3A-BC2C-1925D6E0A5F2}">
  <sheetPr codeName="Sheet3">
    <tabColor theme="4" tint="0.59999389629810485"/>
  </sheetPr>
  <dimension ref="A1:W21"/>
  <sheetViews>
    <sheetView zoomScale="70" zoomScaleNormal="70" zoomScaleSheetLayoutView="70" workbookViewId="0">
      <pane xSplit="1" ySplit="7" topLeftCell="B8" activePane="bottomRight" state="frozen"/>
      <selection activeCell="B21" sqref="B21"/>
      <selection pane="topRight" activeCell="B21" sqref="B21"/>
      <selection pane="bottomLeft" activeCell="B21" sqref="B21"/>
      <selection pane="bottomRight" activeCell="B21" sqref="B21"/>
    </sheetView>
  </sheetViews>
  <sheetFormatPr defaultColWidth="8.6640625" defaultRowHeight="18.5" customHeight="1" x14ac:dyDescent="0.55000000000000004"/>
  <cols>
    <col min="1" max="1" width="2.58203125" style="93" customWidth="1"/>
    <col min="2" max="3" width="10.25" style="93" customWidth="1"/>
    <col min="4" max="4" width="26.08203125" style="93" customWidth="1"/>
    <col min="5" max="11" width="10.25" style="93" customWidth="1"/>
    <col min="12" max="12" width="11.08203125" style="93" customWidth="1"/>
    <col min="13" max="14" width="10.25" style="93" customWidth="1"/>
    <col min="15" max="15" width="11.9140625" style="93" customWidth="1"/>
    <col min="16" max="16" width="10.25" style="93" customWidth="1"/>
    <col min="17" max="17" width="2.58203125" style="93" customWidth="1"/>
    <col min="18" max="16384" width="8.6640625" style="93"/>
  </cols>
  <sheetData>
    <row r="1" spans="1:23" s="91" customFormat="1" ht="20" x14ac:dyDescent="0.6">
      <c r="A1" s="5" t="str">
        <f>"Financial Costs ("&amp;MID('0.Contents'!A1,20,(LEN('0.Contents'!A1)-20))&amp;")----DPP format"</f>
        <v>Financial Costs (Power Distribution)----DPP format</v>
      </c>
      <c r="C1" s="5"/>
      <c r="D1" s="92"/>
      <c r="E1" s="92"/>
      <c r="F1" s="92"/>
      <c r="G1" s="92"/>
      <c r="H1" s="92"/>
      <c r="I1" s="92"/>
      <c r="J1" s="92"/>
      <c r="K1" s="92"/>
      <c r="L1" s="92"/>
      <c r="M1" s="92"/>
      <c r="N1" s="92"/>
      <c r="O1" s="92"/>
      <c r="P1" s="92"/>
    </row>
    <row r="2" spans="1:23" s="90" customFormat="1" ht="18.5" customHeight="1" x14ac:dyDescent="0.6">
      <c r="B2" s="6" t="s">
        <v>87</v>
      </c>
      <c r="C2" s="6"/>
      <c r="D2" s="122"/>
      <c r="E2" s="122"/>
      <c r="F2" s="122"/>
      <c r="G2" s="122"/>
      <c r="H2" s="122"/>
      <c r="I2" s="122"/>
      <c r="J2" s="122"/>
      <c r="K2" s="122"/>
      <c r="L2" s="122"/>
      <c r="M2" s="122"/>
      <c r="N2" s="122"/>
      <c r="O2" s="122"/>
      <c r="P2" s="123" t="s">
        <v>86</v>
      </c>
    </row>
    <row r="3" spans="1:23" s="90" customFormat="1" ht="18.5" customHeight="1" x14ac:dyDescent="0.6">
      <c r="B3" s="370" t="s">
        <v>48</v>
      </c>
      <c r="C3" s="370" t="s">
        <v>88</v>
      </c>
      <c r="D3" s="370" t="s">
        <v>89</v>
      </c>
      <c r="E3" s="370" t="s">
        <v>49</v>
      </c>
      <c r="F3" s="370" t="s">
        <v>90</v>
      </c>
      <c r="G3" s="370" t="s">
        <v>50</v>
      </c>
      <c r="H3" s="373" t="s">
        <v>24</v>
      </c>
      <c r="I3" s="374"/>
      <c r="J3" s="374"/>
      <c r="K3" s="374"/>
      <c r="L3" s="374"/>
      <c r="M3" s="374"/>
      <c r="N3" s="374"/>
      <c r="O3" s="374"/>
      <c r="P3" s="375"/>
    </row>
    <row r="4" spans="1:23" s="90" customFormat="1" ht="18.5" customHeight="1" x14ac:dyDescent="0.6">
      <c r="B4" s="371"/>
      <c r="C4" s="371"/>
      <c r="D4" s="371"/>
      <c r="E4" s="371"/>
      <c r="F4" s="371"/>
      <c r="G4" s="371"/>
      <c r="H4" s="370" t="s">
        <v>51</v>
      </c>
      <c r="I4" s="373" t="s">
        <v>52</v>
      </c>
      <c r="J4" s="374"/>
      <c r="K4" s="374"/>
      <c r="L4" s="375"/>
      <c r="M4" s="370" t="s">
        <v>53</v>
      </c>
      <c r="N4" s="370" t="s">
        <v>54</v>
      </c>
      <c r="O4" s="370" t="s">
        <v>24</v>
      </c>
      <c r="P4" s="377" t="s">
        <v>55</v>
      </c>
    </row>
    <row r="5" spans="1:23" ht="18.5" customHeight="1" x14ac:dyDescent="0.55000000000000004">
      <c r="B5" s="371"/>
      <c r="C5" s="371"/>
      <c r="D5" s="371"/>
      <c r="E5" s="376"/>
      <c r="F5" s="371"/>
      <c r="G5" s="371"/>
      <c r="H5" s="371"/>
      <c r="I5" s="380" t="s">
        <v>56</v>
      </c>
      <c r="J5" s="381"/>
      <c r="K5" s="382" t="s">
        <v>57</v>
      </c>
      <c r="L5" s="383"/>
      <c r="M5" s="371"/>
      <c r="N5" s="371"/>
      <c r="O5" s="371"/>
      <c r="P5" s="378"/>
    </row>
    <row r="6" spans="1:23" ht="37" customHeight="1" x14ac:dyDescent="0.55000000000000004">
      <c r="B6" s="372"/>
      <c r="C6" s="372"/>
      <c r="D6" s="372"/>
      <c r="E6" s="372"/>
      <c r="F6" s="372"/>
      <c r="G6" s="372"/>
      <c r="H6" s="372"/>
      <c r="I6" s="105" t="s">
        <v>58</v>
      </c>
      <c r="J6" s="106" t="s">
        <v>91</v>
      </c>
      <c r="K6" s="106" t="s">
        <v>59</v>
      </c>
      <c r="L6" s="106" t="s">
        <v>60</v>
      </c>
      <c r="M6" s="372"/>
      <c r="N6" s="372"/>
      <c r="O6" s="372"/>
      <c r="P6" s="379"/>
    </row>
    <row r="7" spans="1:23" ht="18.5" customHeight="1" x14ac:dyDescent="0.55000000000000004">
      <c r="B7" s="107" t="s">
        <v>61</v>
      </c>
      <c r="C7" s="107" t="s">
        <v>62</v>
      </c>
      <c r="D7" s="108" t="s">
        <v>63</v>
      </c>
      <c r="E7" s="107" t="s">
        <v>64</v>
      </c>
      <c r="F7" s="108" t="s">
        <v>65</v>
      </c>
      <c r="G7" s="107" t="s">
        <v>66</v>
      </c>
      <c r="H7" s="108" t="s">
        <v>67</v>
      </c>
      <c r="I7" s="107" t="s">
        <v>68</v>
      </c>
      <c r="J7" s="108" t="s">
        <v>69</v>
      </c>
      <c r="K7" s="107" t="s">
        <v>70</v>
      </c>
      <c r="L7" s="108" t="s">
        <v>71</v>
      </c>
      <c r="M7" s="107" t="s">
        <v>72</v>
      </c>
      <c r="N7" s="108" t="s">
        <v>73</v>
      </c>
      <c r="O7" s="107" t="s">
        <v>92</v>
      </c>
      <c r="P7" s="108" t="s">
        <v>93</v>
      </c>
    </row>
    <row r="8" spans="1:23" ht="18.5" customHeight="1" x14ac:dyDescent="0.55000000000000004">
      <c r="B8" s="94" t="s">
        <v>74</v>
      </c>
      <c r="C8" s="95"/>
      <c r="D8" s="95"/>
      <c r="E8" s="95"/>
      <c r="F8" s="95"/>
      <c r="G8" s="95"/>
      <c r="H8" s="95"/>
      <c r="I8" s="95"/>
      <c r="J8" s="95"/>
      <c r="K8" s="95"/>
      <c r="L8" s="95"/>
      <c r="M8" s="95"/>
      <c r="N8" s="95"/>
      <c r="O8" s="95"/>
      <c r="P8" s="96"/>
    </row>
    <row r="9" spans="1:23" ht="18.5" customHeight="1" x14ac:dyDescent="0.55000000000000004">
      <c r="B9" s="97"/>
      <c r="C9" s="97"/>
      <c r="D9" s="98"/>
      <c r="E9" s="99"/>
      <c r="F9" s="99"/>
      <c r="G9" s="99"/>
      <c r="H9" s="336"/>
      <c r="I9" s="336"/>
      <c r="J9" s="336"/>
      <c r="K9" s="336"/>
      <c r="L9" s="336"/>
      <c r="M9" s="337"/>
      <c r="N9" s="336"/>
      <c r="O9" s="218">
        <f>SUM(H9:N9)</f>
        <v>0</v>
      </c>
      <c r="P9" s="125">
        <f>O9/$O$20</f>
        <v>0</v>
      </c>
      <c r="Q9" s="100"/>
      <c r="R9" s="369" t="s">
        <v>222</v>
      </c>
      <c r="S9" s="369"/>
      <c r="T9" s="369"/>
      <c r="U9" s="369"/>
      <c r="V9" s="369"/>
      <c r="W9" s="369"/>
    </row>
    <row r="10" spans="1:23" ht="18.5" customHeight="1" x14ac:dyDescent="0.55000000000000004">
      <c r="B10" s="97"/>
      <c r="C10" s="97"/>
      <c r="D10" s="98"/>
      <c r="E10" s="99"/>
      <c r="F10" s="99"/>
      <c r="G10" s="99"/>
      <c r="H10" s="336"/>
      <c r="I10" s="336"/>
      <c r="J10" s="336"/>
      <c r="K10" s="336"/>
      <c r="L10" s="336"/>
      <c r="M10" s="337"/>
      <c r="N10" s="336"/>
      <c r="O10" s="218">
        <f t="shared" ref="O10:O12" si="0">SUM(H10:N10)</f>
        <v>0</v>
      </c>
      <c r="P10" s="125">
        <f>O10/$O$20</f>
        <v>0</v>
      </c>
      <c r="Q10" s="100"/>
      <c r="R10" s="369"/>
      <c r="S10" s="369"/>
      <c r="T10" s="369"/>
      <c r="U10" s="369"/>
      <c r="V10" s="369"/>
      <c r="W10" s="369"/>
    </row>
    <row r="11" spans="1:23" ht="18.5" customHeight="1" x14ac:dyDescent="0.55000000000000004">
      <c r="B11" s="97"/>
      <c r="C11" s="97"/>
      <c r="D11" s="98"/>
      <c r="E11" s="99"/>
      <c r="F11" s="99"/>
      <c r="G11" s="99"/>
      <c r="H11" s="336"/>
      <c r="I11" s="336"/>
      <c r="J11" s="336"/>
      <c r="K11" s="336"/>
      <c r="L11" s="336"/>
      <c r="M11" s="337"/>
      <c r="N11" s="336"/>
      <c r="O11" s="218">
        <f t="shared" si="0"/>
        <v>0</v>
      </c>
      <c r="P11" s="125">
        <f>O11/$O$20</f>
        <v>0</v>
      </c>
      <c r="Q11" s="100"/>
      <c r="R11" s="369"/>
      <c r="S11" s="369"/>
      <c r="T11" s="369"/>
      <c r="U11" s="369"/>
      <c r="V11" s="369"/>
      <c r="W11" s="369"/>
    </row>
    <row r="12" spans="1:23" ht="18.5" customHeight="1" x14ac:dyDescent="0.55000000000000004">
      <c r="B12" s="388" t="s">
        <v>94</v>
      </c>
      <c r="C12" s="389"/>
      <c r="D12" s="390"/>
      <c r="E12" s="99"/>
      <c r="F12" s="99"/>
      <c r="G12" s="99"/>
      <c r="H12" s="338">
        <v>0</v>
      </c>
      <c r="I12" s="338">
        <v>0</v>
      </c>
      <c r="J12" s="338">
        <v>0</v>
      </c>
      <c r="K12" s="338">
        <v>0</v>
      </c>
      <c r="L12" s="338">
        <v>0</v>
      </c>
      <c r="M12" s="339">
        <v>0</v>
      </c>
      <c r="N12" s="338">
        <v>0</v>
      </c>
      <c r="O12" s="218">
        <f t="shared" si="0"/>
        <v>0</v>
      </c>
      <c r="P12" s="125">
        <f>O12/$O$20</f>
        <v>0</v>
      </c>
      <c r="Q12" s="100"/>
      <c r="R12" s="369"/>
      <c r="S12" s="369"/>
      <c r="T12" s="369"/>
      <c r="U12" s="369"/>
      <c r="V12" s="369"/>
      <c r="W12" s="369"/>
    </row>
    <row r="13" spans="1:23" ht="18.5" customHeight="1" x14ac:dyDescent="0.55000000000000004">
      <c r="B13" s="384" t="s">
        <v>75</v>
      </c>
      <c r="C13" s="385"/>
      <c r="D13" s="385"/>
      <c r="E13" s="385"/>
      <c r="F13" s="385"/>
      <c r="G13" s="385"/>
      <c r="H13" s="385"/>
      <c r="I13" s="385"/>
      <c r="J13" s="385"/>
      <c r="K13" s="385"/>
      <c r="L13" s="385"/>
      <c r="M13" s="385"/>
      <c r="N13" s="385"/>
      <c r="O13" s="385"/>
      <c r="P13" s="386"/>
      <c r="Q13" s="100"/>
      <c r="R13" s="369"/>
      <c r="S13" s="369"/>
      <c r="T13" s="369"/>
      <c r="U13" s="369"/>
      <c r="V13" s="369"/>
      <c r="W13" s="369"/>
    </row>
    <row r="14" spans="1:23" ht="18.5" customHeight="1" x14ac:dyDescent="0.55000000000000004">
      <c r="B14" s="124"/>
      <c r="C14" s="124"/>
      <c r="D14" s="98"/>
      <c r="E14" s="99"/>
      <c r="F14" s="99"/>
      <c r="G14" s="99"/>
      <c r="H14" s="340"/>
      <c r="I14" s="340"/>
      <c r="J14" s="340"/>
      <c r="K14" s="340"/>
      <c r="L14" s="340"/>
      <c r="M14" s="341"/>
      <c r="N14" s="340"/>
      <c r="O14" s="218">
        <f>SUM(H14:N14)</f>
        <v>0</v>
      </c>
      <c r="P14" s="125">
        <f t="shared" ref="P14:P20" si="1">O14/$O$20</f>
        <v>0</v>
      </c>
      <c r="Q14" s="100"/>
      <c r="R14" s="369"/>
      <c r="S14" s="369"/>
      <c r="T14" s="369"/>
      <c r="U14" s="369"/>
      <c r="V14" s="369"/>
      <c r="W14" s="369"/>
    </row>
    <row r="15" spans="1:23" ht="18" x14ac:dyDescent="0.55000000000000004">
      <c r="B15" s="177"/>
      <c r="C15" s="391" t="s">
        <v>220</v>
      </c>
      <c r="D15" s="392"/>
      <c r="E15" s="99"/>
      <c r="F15" s="99"/>
      <c r="G15" s="178"/>
      <c r="H15" s="341"/>
      <c r="I15" s="341"/>
      <c r="J15" s="341"/>
      <c r="K15" s="341"/>
      <c r="L15" s="341"/>
      <c r="M15" s="341"/>
      <c r="N15" s="340"/>
      <c r="O15" s="218">
        <f t="shared" ref="O15:O16" si="2">SUM(H15:N15)</f>
        <v>0</v>
      </c>
      <c r="P15" s="125">
        <f t="shared" si="1"/>
        <v>0</v>
      </c>
      <c r="Q15" s="100"/>
      <c r="R15" s="100"/>
      <c r="S15" s="101"/>
    </row>
    <row r="16" spans="1:23" ht="18" x14ac:dyDescent="0.55000000000000004">
      <c r="B16" s="177"/>
      <c r="C16" s="391" t="s">
        <v>221</v>
      </c>
      <c r="D16" s="392"/>
      <c r="E16" s="99"/>
      <c r="F16" s="99"/>
      <c r="G16" s="178"/>
      <c r="H16" s="341"/>
      <c r="I16" s="341"/>
      <c r="J16" s="341"/>
      <c r="K16" s="341"/>
      <c r="L16" s="341"/>
      <c r="M16" s="341"/>
      <c r="N16" s="340"/>
      <c r="O16" s="218">
        <f t="shared" si="2"/>
        <v>0</v>
      </c>
      <c r="P16" s="125">
        <f t="shared" si="1"/>
        <v>0</v>
      </c>
      <c r="Q16" s="100"/>
      <c r="R16" s="100"/>
      <c r="S16" s="101"/>
    </row>
    <row r="17" spans="2:19" ht="18.5" customHeight="1" x14ac:dyDescent="0.55000000000000004">
      <c r="B17" s="388" t="s">
        <v>95</v>
      </c>
      <c r="C17" s="389"/>
      <c r="D17" s="390"/>
      <c r="E17" s="102"/>
      <c r="F17" s="102"/>
      <c r="G17" s="103"/>
      <c r="H17" s="340">
        <v>43349.994616160999</v>
      </c>
      <c r="I17" s="340">
        <v>0</v>
      </c>
      <c r="J17" s="340">
        <v>0</v>
      </c>
      <c r="K17" s="340">
        <v>0</v>
      </c>
      <c r="L17" s="340">
        <v>119567.44996259725</v>
      </c>
      <c r="M17" s="340">
        <v>59376.359878127369</v>
      </c>
      <c r="N17" s="340">
        <v>0</v>
      </c>
      <c r="O17" s="218">
        <f>SUM(H17:N17)</f>
        <v>222293.80445688564</v>
      </c>
      <c r="P17" s="125">
        <f t="shared" si="1"/>
        <v>0.93457943925233655</v>
      </c>
      <c r="Q17" s="100"/>
      <c r="R17" s="100"/>
      <c r="S17" s="101"/>
    </row>
    <row r="18" spans="2:19" ht="18.5" customHeight="1" x14ac:dyDescent="0.55000000000000004">
      <c r="B18" s="384" t="str">
        <f>"(c) Physical Contingency ("&amp;TEXT('1.Params_8.Sensitivity'!D3,"0%")&amp;")"</f>
        <v>(c) Physical Contingency (2%)</v>
      </c>
      <c r="C18" s="385"/>
      <c r="D18" s="386"/>
      <c r="E18" s="99"/>
      <c r="F18" s="99"/>
      <c r="G18" s="99"/>
      <c r="H18" s="219">
        <f>(H$12+H$17)*'1.Params_8.Sensitivity'!$D$3</f>
        <v>866.99989232322002</v>
      </c>
      <c r="I18" s="220">
        <f>(I$12+I$17)*'1.Params_8.Sensitivity'!$D$3</f>
        <v>0</v>
      </c>
      <c r="J18" s="220">
        <f>(J$12+J$17)*'1.Params_8.Sensitivity'!$D$3</f>
        <v>0</v>
      </c>
      <c r="K18" s="220">
        <f>(K$12+K$17)*'1.Params_8.Sensitivity'!$D$3</f>
        <v>0</v>
      </c>
      <c r="L18" s="220">
        <f>(L$12+L$17)*'1.Params_8.Sensitivity'!$D$3</f>
        <v>2391.3489992519453</v>
      </c>
      <c r="M18" s="220">
        <f>(M$12+M$17)*'1.Params_8.Sensitivity'!$D$3</f>
        <v>1187.5271975625474</v>
      </c>
      <c r="N18" s="220">
        <f>(N$12+N$17)*'1.Params_8.Sensitivity'!$D$3</f>
        <v>0</v>
      </c>
      <c r="O18" s="218">
        <f>SUM(H18:N18)</f>
        <v>4445.8760891377133</v>
      </c>
      <c r="P18" s="125">
        <f t="shared" si="1"/>
        <v>1.8691588785046735E-2</v>
      </c>
      <c r="Q18" s="100"/>
      <c r="R18" s="176"/>
      <c r="S18" s="101"/>
    </row>
    <row r="19" spans="2:19" ht="18.5" customHeight="1" x14ac:dyDescent="0.55000000000000004">
      <c r="B19" s="384" t="str">
        <f>"(d) Price Contingency ("&amp;TEXT('1.Params_8.Sensitivity'!D4,"0%")&amp;")"</f>
        <v>(d) Price Contingency (5%)</v>
      </c>
      <c r="C19" s="385"/>
      <c r="D19" s="386"/>
      <c r="E19" s="99"/>
      <c r="F19" s="99"/>
      <c r="G19" s="99"/>
      <c r="H19" s="221">
        <f>(H$12+H$17)*'1.Params_8.Sensitivity'!$D$4</f>
        <v>2167.4997308080501</v>
      </c>
      <c r="I19" s="220">
        <f>(I$12+I$17)*'1.Params_8.Sensitivity'!$D$4</f>
        <v>0</v>
      </c>
      <c r="J19" s="220">
        <f>(J$12+J$17)*'1.Params_8.Sensitivity'!$D$4</f>
        <v>0</v>
      </c>
      <c r="K19" s="220">
        <f>(K$12+K$17)*'1.Params_8.Sensitivity'!$D$4</f>
        <v>0</v>
      </c>
      <c r="L19" s="220">
        <f>(L$12+L$17)*'1.Params_8.Sensitivity'!$D$4</f>
        <v>5978.3724981298628</v>
      </c>
      <c r="M19" s="220">
        <f>(M$12+M$17)*'1.Params_8.Sensitivity'!$D$4</f>
        <v>2968.8179939063684</v>
      </c>
      <c r="N19" s="220">
        <f>(N$12+N$17)*'1.Params_8.Sensitivity'!$D$4</f>
        <v>0</v>
      </c>
      <c r="O19" s="218">
        <f>SUM(H19:N19)</f>
        <v>11114.690222844281</v>
      </c>
      <c r="P19" s="125">
        <f t="shared" si="1"/>
        <v>4.6728971962616828E-2</v>
      </c>
      <c r="Q19" s="100"/>
      <c r="R19" s="100"/>
      <c r="S19" s="101"/>
    </row>
    <row r="20" spans="2:19" ht="18.5" customHeight="1" x14ac:dyDescent="0.55000000000000004">
      <c r="B20" s="387" t="s">
        <v>96</v>
      </c>
      <c r="C20" s="387"/>
      <c r="D20" s="387"/>
      <c r="E20" s="104"/>
      <c r="F20" s="104"/>
      <c r="G20" s="104"/>
      <c r="H20" s="218">
        <f>H$12+H$17+H$18+H$19</f>
        <v>46384.494239292268</v>
      </c>
      <c r="I20" s="218">
        <f t="shared" ref="I20:L20" si="3">I$12+I$17+I$18+I$19</f>
        <v>0</v>
      </c>
      <c r="J20" s="218">
        <f t="shared" si="3"/>
        <v>0</v>
      </c>
      <c r="K20" s="218">
        <f t="shared" si="3"/>
        <v>0</v>
      </c>
      <c r="L20" s="218">
        <f t="shared" si="3"/>
        <v>127937.17145997906</v>
      </c>
      <c r="M20" s="218">
        <f>M$12+M$17+M$18+M$19</f>
        <v>63532.705069596283</v>
      </c>
      <c r="N20" s="218">
        <f>N$12+N$17+N$18+N$19</f>
        <v>0</v>
      </c>
      <c r="O20" s="222">
        <f>SUM(H20:N20)</f>
        <v>237854.37076886761</v>
      </c>
      <c r="P20" s="125">
        <f t="shared" si="1"/>
        <v>1</v>
      </c>
    </row>
    <row r="21" spans="2:19" ht="18.5" customHeight="1" x14ac:dyDescent="0.55000000000000004">
      <c r="B21" s="93" t="s">
        <v>97</v>
      </c>
    </row>
  </sheetData>
  <sheetProtection algorithmName="SHA-512" hashValue="QsPFp5v8nMGoR1T9GKp1G/zmFHSqS7uEl8w9Lp9ZOdOEbE2k7SXetA4HRWL3dmKbBmAp1KdLt3NbWqHQdkd3FA==" saltValue="iNZ9K7N7JzdP8ZThCCi5vQ==" spinCount="100000" sheet="1" objects="1" scenarios="1" autoFilter="0"/>
  <mergeCells count="24">
    <mergeCell ref="B19:D19"/>
    <mergeCell ref="B20:D20"/>
    <mergeCell ref="B12:D12"/>
    <mergeCell ref="B13:P13"/>
    <mergeCell ref="B17:D17"/>
    <mergeCell ref="B18:D18"/>
    <mergeCell ref="C15:D15"/>
    <mergeCell ref="C16:D16"/>
    <mergeCell ref="R9:W14"/>
    <mergeCell ref="B3:B6"/>
    <mergeCell ref="H3:P3"/>
    <mergeCell ref="G3:G6"/>
    <mergeCell ref="F3:F6"/>
    <mergeCell ref="E3:E6"/>
    <mergeCell ref="D3:D6"/>
    <mergeCell ref="H4:H6"/>
    <mergeCell ref="C3:C6"/>
    <mergeCell ref="I4:L4"/>
    <mergeCell ref="M4:M6"/>
    <mergeCell ref="N4:N6"/>
    <mergeCell ref="P4:P6"/>
    <mergeCell ref="I5:J5"/>
    <mergeCell ref="K5:L5"/>
    <mergeCell ref="O4:O6"/>
  </mergeCells>
  <phoneticPr fontId="4"/>
  <pageMargins left="0.7" right="0.7" top="0.75" bottom="0.75" header="0.3" footer="0.3"/>
  <pageSetup paperSize="9" scale="49" firstPageNumber="71" fitToHeight="0" orientation="portrait" useFirstPageNumber="1" r:id="rId1"/>
  <headerFooter scaleWithDoc="0" alignWithMargins="0">
    <oddFoote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DD81A-7B7F-4982-9D6E-5E73A71D87A8}">
  <sheetPr codeName="Sheet4">
    <tabColor theme="4" tint="0.59999389629810485"/>
  </sheetPr>
  <dimension ref="A1:AF57"/>
  <sheetViews>
    <sheetView zoomScale="115" zoomScaleNormal="115" workbookViewId="0">
      <pane xSplit="1" ySplit="1" topLeftCell="B27" activePane="bottomRight" state="frozen"/>
      <selection activeCell="B21" sqref="B21"/>
      <selection pane="topRight" activeCell="B21" sqref="B21"/>
      <selection pane="bottomLeft" activeCell="B21" sqref="B21"/>
      <selection pane="bottomRight" activeCell="B21" sqref="B21"/>
    </sheetView>
  </sheetViews>
  <sheetFormatPr defaultRowHeight="18" x14ac:dyDescent="0.55000000000000004"/>
  <cols>
    <col min="1" max="1" width="2.58203125" customWidth="1"/>
    <col min="2" max="2" width="67.4140625" customWidth="1"/>
    <col min="3" max="3" width="9.9140625" customWidth="1"/>
    <col min="4" max="4" width="8.6640625" customWidth="1"/>
    <col min="5" max="8" width="9.75" customWidth="1"/>
    <col min="9" max="11" width="9.75" bestFit="1" customWidth="1"/>
    <col min="12" max="31" width="9.75" customWidth="1"/>
    <col min="32" max="32" width="9.75" bestFit="1" customWidth="1"/>
  </cols>
  <sheetData>
    <row r="1" spans="1:8" s="3" customFormat="1" ht="20" x14ac:dyDescent="0.6">
      <c r="A1" s="5" t="str">
        <f>"Financial Costs ("&amp;MID('0.Contents'!A1,20,(LEN('0.Contents'!A1)-20))&amp;")----General format"</f>
        <v>Financial Costs (Power Distribution)----General format</v>
      </c>
    </row>
    <row r="2" spans="1:8" ht="19" customHeight="1" x14ac:dyDescent="0.6">
      <c r="A2" s="6"/>
      <c r="B2" s="397" t="s">
        <v>11</v>
      </c>
      <c r="C2" s="396" t="s">
        <v>27</v>
      </c>
      <c r="D2" s="396"/>
      <c r="E2" s="396"/>
      <c r="F2" s="399" t="s">
        <v>4</v>
      </c>
      <c r="G2" s="399" t="s">
        <v>132</v>
      </c>
    </row>
    <row r="3" spans="1:8" ht="36.5" thickBot="1" x14ac:dyDescent="0.65">
      <c r="A3" s="6"/>
      <c r="B3" s="398"/>
      <c r="C3" s="171" t="s">
        <v>130</v>
      </c>
      <c r="D3" s="171" t="s">
        <v>129</v>
      </c>
      <c r="E3" s="171" t="s">
        <v>131</v>
      </c>
      <c r="F3" s="400"/>
      <c r="G3" s="401"/>
    </row>
    <row r="4" spans="1:8" ht="18.5" thickBot="1" x14ac:dyDescent="0.6">
      <c r="B4" s="4" t="s">
        <v>5</v>
      </c>
      <c r="C4" s="342">
        <v>0</v>
      </c>
      <c r="D4" s="343">
        <v>0</v>
      </c>
      <c r="E4" s="343">
        <v>0</v>
      </c>
      <c r="F4" s="342">
        <v>0</v>
      </c>
      <c r="G4" s="52">
        <f>SUM(C4:E4)+F4*'1.Params_8.Sensitivity'!$D$15</f>
        <v>0</v>
      </c>
    </row>
    <row r="5" spans="1:8" ht="18.5" thickBot="1" x14ac:dyDescent="0.6">
      <c r="B5" s="4" t="s">
        <v>6</v>
      </c>
      <c r="C5" s="53">
        <f>SUM(C6:C7)</f>
        <v>0</v>
      </c>
      <c r="D5" s="53">
        <f t="shared" ref="D5:E5" si="0">SUM(D6:D7)</f>
        <v>0</v>
      </c>
      <c r="E5" s="355">
        <f t="shared" si="0"/>
        <v>0</v>
      </c>
      <c r="F5" s="53">
        <f>SUM(F6:F7)</f>
        <v>0</v>
      </c>
      <c r="G5" s="53">
        <f>SUM(G6:G7)</f>
        <v>0</v>
      </c>
    </row>
    <row r="6" spans="1:8" ht="18.5" thickBot="1" x14ac:dyDescent="0.6">
      <c r="B6" s="4" t="s">
        <v>9</v>
      </c>
      <c r="C6" s="342">
        <v>0</v>
      </c>
      <c r="D6" s="344">
        <v>0</v>
      </c>
      <c r="E6" s="344">
        <v>0</v>
      </c>
      <c r="F6" s="342">
        <v>0</v>
      </c>
      <c r="G6" s="52">
        <f>SUM(C6:E6)+F6*'1.Params_8.Sensitivity'!$D$15</f>
        <v>0</v>
      </c>
    </row>
    <row r="7" spans="1:8" ht="18.5" thickBot="1" x14ac:dyDescent="0.6">
      <c r="B7" s="4" t="s">
        <v>10</v>
      </c>
      <c r="C7" s="342">
        <v>0</v>
      </c>
      <c r="D7" s="344">
        <v>0</v>
      </c>
      <c r="E7" s="344">
        <v>0</v>
      </c>
      <c r="F7" s="342">
        <v>0</v>
      </c>
      <c r="G7" s="52">
        <f>SUM(C7:E7)+F7*'1.Params_8.Sensitivity'!$D$15</f>
        <v>0</v>
      </c>
    </row>
    <row r="8" spans="1:8" ht="18.5" thickBot="1" x14ac:dyDescent="0.6">
      <c r="B8" s="4" t="s">
        <v>7</v>
      </c>
      <c r="C8" s="342">
        <v>0</v>
      </c>
      <c r="D8" s="344">
        <v>0</v>
      </c>
      <c r="E8" s="344">
        <v>0</v>
      </c>
      <c r="F8" s="342">
        <v>0</v>
      </c>
      <c r="G8" s="52">
        <f>SUM(C8:E8)+F8*'1.Params_8.Sensitivity'!$D$15</f>
        <v>0</v>
      </c>
    </row>
    <row r="9" spans="1:8" ht="18.5" thickBot="1" x14ac:dyDescent="0.6">
      <c r="B9" s="4" t="s">
        <v>188</v>
      </c>
      <c r="C9" s="342">
        <v>0</v>
      </c>
      <c r="D9" s="344">
        <v>0</v>
      </c>
      <c r="E9" s="344">
        <v>0</v>
      </c>
      <c r="F9" s="342">
        <v>0</v>
      </c>
      <c r="G9" s="52">
        <f>SUM(C9:E9)+F9*'1.Params_8.Sensitivity'!$D$15</f>
        <v>0</v>
      </c>
    </row>
    <row r="10" spans="1:8" ht="18.5" thickBot="1" x14ac:dyDescent="0.6">
      <c r="B10" s="4" t="s">
        <v>8</v>
      </c>
      <c r="C10" s="342">
        <v>0</v>
      </c>
      <c r="D10" s="344">
        <v>0</v>
      </c>
      <c r="E10" s="344">
        <v>0</v>
      </c>
      <c r="F10" s="342">
        <v>0</v>
      </c>
      <c r="G10" s="52">
        <f>SUM(C10:E10)+F10*'1.Params_8.Sensitivity'!$D$15</f>
        <v>0</v>
      </c>
    </row>
    <row r="11" spans="1:8" ht="18.5" thickBot="1" x14ac:dyDescent="0.6">
      <c r="B11" s="9" t="s">
        <v>32</v>
      </c>
      <c r="C11" s="342">
        <v>0</v>
      </c>
      <c r="D11" s="344">
        <v>0</v>
      </c>
      <c r="E11" s="344">
        <v>0</v>
      </c>
      <c r="F11" s="342">
        <v>0</v>
      </c>
      <c r="G11" s="54">
        <f>SUM(C11:E11)+F11*'1.Params_8.Sensitivity'!$D$15</f>
        <v>0</v>
      </c>
    </row>
    <row r="12" spans="1:8" x14ac:dyDescent="0.55000000000000004">
      <c r="B12" s="179" t="s">
        <v>223</v>
      </c>
      <c r="C12" s="55">
        <f>SUM(C4,C6:C11)</f>
        <v>0</v>
      </c>
      <c r="D12" s="55">
        <f>SUM(D4,D6:D11)</f>
        <v>0</v>
      </c>
      <c r="E12" s="55">
        <f>SUM(E4,E6:E11)</f>
        <v>0</v>
      </c>
      <c r="F12" s="55">
        <f>SUM(F4,F6:F11)</f>
        <v>0</v>
      </c>
      <c r="G12" s="70">
        <f>SUM(G4,G6:G11)</f>
        <v>0</v>
      </c>
    </row>
    <row r="13" spans="1:8" x14ac:dyDescent="0.55000000000000004">
      <c r="B13" s="4" t="str">
        <f>"Physical Contingency ("&amp;TEXT('1.Params_8.Sensitivity'!D3,"0%")&amp;")"</f>
        <v>Physical Contingency (2%)</v>
      </c>
      <c r="C13" s="62">
        <f>C12*'1.Params_8.Sensitivity'!$D$3</f>
        <v>0</v>
      </c>
      <c r="D13" s="62">
        <f>D12*'1.Params_8.Sensitivity'!$D$3</f>
        <v>0</v>
      </c>
      <c r="E13" s="62">
        <f>E12*'1.Params_8.Sensitivity'!$D$3</f>
        <v>0</v>
      </c>
      <c r="F13" s="62">
        <f>F12*'1.Params_8.Sensitivity'!$D$3</f>
        <v>0</v>
      </c>
      <c r="G13" s="61">
        <f>SUM(C13:E13)+F13*'1.Params_8.Sensitivity'!$D$15</f>
        <v>0</v>
      </c>
    </row>
    <row r="14" spans="1:8" x14ac:dyDescent="0.55000000000000004">
      <c r="B14" s="180" t="str">
        <f>_xlfn.CONCAT("Price Contingency, Local currency ("&amp;TEXT('1.Params_8.Sensitivity'!D4,"0%")&amp;")"," / Foreign currency ("&amp;TEXT('1.Params_8.Sensitivity'!D5,"0%")&amp;")")</f>
        <v>Price Contingency, Local currency (5%) / Foreign currency (5%)</v>
      </c>
      <c r="C14" s="66">
        <f>C12*'1.Params_8.Sensitivity'!$D$4</f>
        <v>0</v>
      </c>
      <c r="D14" s="66">
        <f>D12*'1.Params_8.Sensitivity'!$D$4</f>
        <v>0</v>
      </c>
      <c r="E14" s="66">
        <f>E12*'1.Params_8.Sensitivity'!$D$4</f>
        <v>0</v>
      </c>
      <c r="F14" s="66">
        <f>F12*'1.Params_8.Sensitivity'!$D$5</f>
        <v>0</v>
      </c>
      <c r="G14" s="51">
        <f>SUM(C14:E14)+F14*'1.Params_8.Sensitivity'!$D$15</f>
        <v>0</v>
      </c>
    </row>
    <row r="15" spans="1:8" x14ac:dyDescent="0.55000000000000004">
      <c r="B15" s="179" t="s">
        <v>228</v>
      </c>
      <c r="C15" s="66">
        <f>SUM(C12:C14)</f>
        <v>0</v>
      </c>
      <c r="D15" s="66">
        <f t="shared" ref="D15:G15" si="1">SUM(D12:D14)</f>
        <v>0</v>
      </c>
      <c r="E15" s="66">
        <f t="shared" si="1"/>
        <v>0</v>
      </c>
      <c r="F15" s="66">
        <f t="shared" si="1"/>
        <v>0</v>
      </c>
      <c r="G15" s="304">
        <f t="shared" si="1"/>
        <v>0</v>
      </c>
      <c r="H15" s="140"/>
    </row>
    <row r="16" spans="1:8" x14ac:dyDescent="0.55000000000000004">
      <c r="B16" s="179" t="s">
        <v>231</v>
      </c>
      <c r="C16" s="56">
        <f>C15-C14</f>
        <v>0</v>
      </c>
      <c r="D16" s="56">
        <f t="shared" ref="D16:F16" si="2">D15-D14</f>
        <v>0</v>
      </c>
      <c r="E16" s="56">
        <f t="shared" si="2"/>
        <v>0</v>
      </c>
      <c r="F16" s="56">
        <f t="shared" si="2"/>
        <v>0</v>
      </c>
      <c r="G16" s="270">
        <f>G15-G14</f>
        <v>0</v>
      </c>
      <c r="H16" s="140" t="s">
        <v>114</v>
      </c>
    </row>
    <row r="17" spans="2:14" ht="18.5" thickBot="1" x14ac:dyDescent="0.6">
      <c r="C17" s="57"/>
      <c r="D17" s="57"/>
      <c r="E17" s="57"/>
      <c r="F17" s="57"/>
      <c r="G17" s="61"/>
    </row>
    <row r="18" spans="2:14" x14ac:dyDescent="0.55000000000000004">
      <c r="B18" s="271" t="s">
        <v>224</v>
      </c>
      <c r="C18" s="272" t="s">
        <v>130</v>
      </c>
      <c r="D18" s="273" t="s">
        <v>225</v>
      </c>
      <c r="E18" s="273" t="s">
        <v>226</v>
      </c>
      <c r="F18" s="272" t="s">
        <v>227</v>
      </c>
      <c r="G18" s="274" t="s">
        <v>24</v>
      </c>
      <c r="I18" s="393" t="s">
        <v>230</v>
      </c>
      <c r="J18" s="394"/>
      <c r="K18" s="394"/>
      <c r="L18" s="394"/>
      <c r="M18" s="394"/>
      <c r="N18" s="394"/>
    </row>
    <row r="19" spans="2:14" x14ac:dyDescent="0.55000000000000004">
      <c r="B19" s="275" t="s">
        <v>32</v>
      </c>
      <c r="C19" s="56">
        <f>SUM('2a.FCosts'!H15:H16)+C11</f>
        <v>0</v>
      </c>
      <c r="D19" s="181">
        <f>SUM('2a.FCosts'!I15:L16)+D11</f>
        <v>0</v>
      </c>
      <c r="E19" s="181">
        <f>SUM('2a.FCosts'!M15:N16)+E11</f>
        <v>0</v>
      </c>
      <c r="F19" s="56">
        <f>0+F11</f>
        <v>0</v>
      </c>
      <c r="G19" s="276">
        <f>SUM(C19:E19)+F19*'1.Params_8.Sensitivity'!$D$15</f>
        <v>0</v>
      </c>
      <c r="I19" s="394"/>
      <c r="J19" s="394"/>
      <c r="K19" s="394"/>
      <c r="L19" s="394"/>
      <c r="M19" s="394"/>
      <c r="N19" s="394"/>
    </row>
    <row r="20" spans="2:14" x14ac:dyDescent="0.55000000000000004">
      <c r="B20" s="277" t="s">
        <v>223</v>
      </c>
      <c r="C20" s="62">
        <f>SUM('2a.FCosts'!H12,'2a.FCosts'!H17)+C12</f>
        <v>43349.994616160999</v>
      </c>
      <c r="D20" s="41">
        <f>SUM('2a.FCosts'!I12:L12)+SUM('2a.FCosts'!I17:L17)+D12</f>
        <v>119567.44996259725</v>
      </c>
      <c r="E20" s="41">
        <f>SUM('2a.FCosts'!M12:N12)+SUM('2a.FCosts'!M17:N17)+E12</f>
        <v>59376.359878127369</v>
      </c>
      <c r="F20" s="62">
        <f>0+F12</f>
        <v>0</v>
      </c>
      <c r="G20" s="276">
        <f>SUM(C20:E20)+F20*'1.Params_8.Sensitivity'!$D$15</f>
        <v>222293.80445688564</v>
      </c>
      <c r="I20" s="394"/>
      <c r="J20" s="394"/>
      <c r="K20" s="394"/>
      <c r="L20" s="394"/>
      <c r="M20" s="394"/>
      <c r="N20" s="394"/>
    </row>
    <row r="21" spans="2:14" x14ac:dyDescent="0.55000000000000004">
      <c r="B21" s="278" t="s">
        <v>26</v>
      </c>
      <c r="C21" s="62">
        <f>'2a.FCosts'!H18+C13</f>
        <v>866.99989232322002</v>
      </c>
      <c r="D21" s="41">
        <f>SUM('2a.FCosts'!I18:L18)+D13</f>
        <v>2391.3489992519453</v>
      </c>
      <c r="E21" s="41">
        <f>SUM('2a.FCosts'!M18:N18)+E13</f>
        <v>1187.5271975625474</v>
      </c>
      <c r="F21" s="62">
        <f>0+F13</f>
        <v>0</v>
      </c>
      <c r="G21" s="279">
        <f>SUM(C21:E21)+F21*'1.Params_8.Sensitivity'!$D$15</f>
        <v>4445.8760891377133</v>
      </c>
      <c r="I21" s="394"/>
      <c r="J21" s="394"/>
      <c r="K21" s="394"/>
      <c r="L21" s="394"/>
      <c r="M21" s="394"/>
      <c r="N21" s="394"/>
    </row>
    <row r="22" spans="2:14" x14ac:dyDescent="0.55000000000000004">
      <c r="B22" s="280" t="s">
        <v>25</v>
      </c>
      <c r="C22" s="55">
        <f>'2a.FCosts'!H19+C14</f>
        <v>2167.4997308080501</v>
      </c>
      <c r="D22" s="39">
        <f>SUM('2a.FCosts'!I19:L19)+D14</f>
        <v>5978.3724981298628</v>
      </c>
      <c r="E22" s="39">
        <f>SUM('2a.FCosts'!M19:N19)+E14</f>
        <v>2968.8179939063684</v>
      </c>
      <c r="F22" s="55">
        <f>0+F14</f>
        <v>0</v>
      </c>
      <c r="G22" s="281">
        <f>SUM(C22:E22)+F22*'1.Params_8.Sensitivity'!$D$15</f>
        <v>11114.690222844281</v>
      </c>
      <c r="I22" s="394"/>
      <c r="J22" s="394"/>
      <c r="K22" s="394"/>
      <c r="L22" s="394"/>
      <c r="M22" s="394"/>
      <c r="N22" s="394"/>
    </row>
    <row r="23" spans="2:14" x14ac:dyDescent="0.55000000000000004">
      <c r="B23" s="277" t="s">
        <v>228</v>
      </c>
      <c r="C23" s="56">
        <f>'2a.FCosts'!$H$20+C15</f>
        <v>46384.494239292268</v>
      </c>
      <c r="D23" s="181">
        <f>SUM('2a.FCosts'!I20:$L$20)+D15</f>
        <v>127937.17145997906</v>
      </c>
      <c r="E23" s="181">
        <f>SUM('2a.FCosts'!M20:N20)+E15</f>
        <v>63532.705069596283</v>
      </c>
      <c r="F23" s="56">
        <f>0+F15</f>
        <v>0</v>
      </c>
      <c r="G23" s="285">
        <f>SUM(C23:E23)+F23*'1.Params_8.Sensitivity'!$D$15</f>
        <v>237854.37076886761</v>
      </c>
      <c r="H23" s="140"/>
      <c r="I23" s="394"/>
      <c r="J23" s="394"/>
      <c r="K23" s="394"/>
      <c r="L23" s="394"/>
      <c r="M23" s="394"/>
      <c r="N23" s="394"/>
    </row>
    <row r="24" spans="2:14" ht="18.5" thickBot="1" x14ac:dyDescent="0.6">
      <c r="B24" s="282" t="s">
        <v>229</v>
      </c>
      <c r="C24" s="283">
        <f>C23-C22</f>
        <v>44216.994508484218</v>
      </c>
      <c r="D24" s="283">
        <f t="shared" ref="D24:F24" si="3">D23-D22</f>
        <v>121958.7989618492</v>
      </c>
      <c r="E24" s="283">
        <f t="shared" si="3"/>
        <v>60563.887075689912</v>
      </c>
      <c r="F24" s="283">
        <f t="shared" si="3"/>
        <v>0</v>
      </c>
      <c r="G24" s="284">
        <f>G23-G22</f>
        <v>226739.68054602333</v>
      </c>
      <c r="H24" s="140" t="s">
        <v>114</v>
      </c>
    </row>
    <row r="25" spans="2:14" x14ac:dyDescent="0.55000000000000004">
      <c r="C25" s="57"/>
      <c r="D25" s="57"/>
      <c r="E25" s="57"/>
      <c r="F25" s="57"/>
      <c r="G25" s="57"/>
    </row>
    <row r="26" spans="2:14" x14ac:dyDescent="0.55000000000000004">
      <c r="B26" s="7" t="s">
        <v>11</v>
      </c>
      <c r="C26" s="14">
        <v>1</v>
      </c>
      <c r="D26" s="12">
        <v>2</v>
      </c>
      <c r="E26" s="14">
        <v>3</v>
      </c>
      <c r="F26" s="12">
        <v>4</v>
      </c>
      <c r="G26" s="14">
        <v>5</v>
      </c>
      <c r="H26" s="7" t="s">
        <v>24</v>
      </c>
    </row>
    <row r="27" spans="2:14" ht="18.5" thickBot="1" x14ac:dyDescent="0.6">
      <c r="B27" s="17" t="s">
        <v>244</v>
      </c>
      <c r="C27" s="172">
        <f>C28/$H$28</f>
        <v>5.4244025507332941E-3</v>
      </c>
      <c r="D27" s="172">
        <f t="shared" ref="D27:F27" si="4">D28/$H$28</f>
        <v>0.35558790725857298</v>
      </c>
      <c r="E27" s="172">
        <f t="shared" si="4"/>
        <v>0.39541285141300275</v>
      </c>
      <c r="F27" s="172">
        <f t="shared" si="4"/>
        <v>0.23734243003174219</v>
      </c>
      <c r="G27" s="172">
        <f>G28/$H$28</f>
        <v>6.2324087459486735E-3</v>
      </c>
      <c r="H27" s="73">
        <f>SUM(C27:G27)</f>
        <v>0.99999999999999978</v>
      </c>
      <c r="I27" s="24" t="s">
        <v>41</v>
      </c>
    </row>
    <row r="28" spans="2:14" ht="18.5" thickBot="1" x14ac:dyDescent="0.6">
      <c r="B28" s="64" t="s">
        <v>29</v>
      </c>
      <c r="C28" s="342">
        <v>1229.9273015063013</v>
      </c>
      <c r="D28" s="345">
        <v>80625.888497837819</v>
      </c>
      <c r="E28" s="342">
        <v>89655.783613176449</v>
      </c>
      <c r="F28" s="342">
        <v>53814.946765414126</v>
      </c>
      <c r="G28" s="346">
        <v>1413.1343680886444</v>
      </c>
      <c r="H28" s="127">
        <f>SUM(C28:G28)</f>
        <v>226739.68054602336</v>
      </c>
      <c r="I28" s="140" t="s">
        <v>114</v>
      </c>
    </row>
    <row r="29" spans="2:14" x14ac:dyDescent="0.55000000000000004">
      <c r="C29" s="395" t="s">
        <v>149</v>
      </c>
      <c r="D29" s="395"/>
      <c r="E29" s="395"/>
      <c r="F29" s="395"/>
      <c r="G29" s="395"/>
      <c r="H29" s="39">
        <f>G24-H28</f>
        <v>0</v>
      </c>
      <c r="I29" s="24" t="s">
        <v>123</v>
      </c>
    </row>
    <row r="31" spans="2:14" x14ac:dyDescent="0.55000000000000004">
      <c r="B31" s="7" t="s">
        <v>11</v>
      </c>
      <c r="C31" s="9"/>
    </row>
    <row r="32" spans="2:14" ht="18.5" thickBot="1" x14ac:dyDescent="0.6">
      <c r="B32" s="16" t="s">
        <v>121</v>
      </c>
      <c r="F32" s="39"/>
      <c r="G32" s="39"/>
      <c r="H32" s="39"/>
      <c r="I32" s="39"/>
      <c r="J32" s="39"/>
    </row>
    <row r="33" spans="2:6" ht="18.5" thickBot="1" x14ac:dyDescent="0.6">
      <c r="B33" s="4" t="s">
        <v>120</v>
      </c>
      <c r="C33" s="342">
        <v>0</v>
      </c>
    </row>
    <row r="34" spans="2:6" ht="18.5" thickBot="1" x14ac:dyDescent="0.6">
      <c r="B34" s="4" t="s">
        <v>47</v>
      </c>
      <c r="C34" s="347">
        <v>0.1</v>
      </c>
    </row>
    <row r="35" spans="2:6" ht="18.5" thickBot="1" x14ac:dyDescent="0.6">
      <c r="B35" s="4" t="s">
        <v>133</v>
      </c>
      <c r="C35" s="67"/>
    </row>
    <row r="36" spans="2:6" ht="18.5" thickBot="1" x14ac:dyDescent="0.6">
      <c r="B36" s="4" t="s">
        <v>120</v>
      </c>
      <c r="C36" s="342">
        <v>4700</v>
      </c>
    </row>
    <row r="37" spans="2:6" ht="18.5" thickBot="1" x14ac:dyDescent="0.6">
      <c r="B37" s="4" t="s">
        <v>47</v>
      </c>
      <c r="C37" s="347">
        <v>0.1</v>
      </c>
      <c r="D37" s="198" t="s">
        <v>232</v>
      </c>
    </row>
    <row r="38" spans="2:6" ht="18.5" thickBot="1" x14ac:dyDescent="0.6">
      <c r="B38" s="4" t="s">
        <v>122</v>
      </c>
      <c r="C38" s="67"/>
    </row>
    <row r="39" spans="2:6" ht="18.5" thickBot="1" x14ac:dyDescent="0.6">
      <c r="B39" s="4" t="s">
        <v>120</v>
      </c>
      <c r="C39" s="342">
        <v>0</v>
      </c>
    </row>
    <row r="40" spans="2:6" ht="18.5" thickBot="1" x14ac:dyDescent="0.6">
      <c r="B40" s="4" t="s">
        <v>47</v>
      </c>
      <c r="C40" s="347">
        <v>1</v>
      </c>
    </row>
    <row r="41" spans="2:6" x14ac:dyDescent="0.55000000000000004">
      <c r="B41" s="15" t="s">
        <v>12</v>
      </c>
      <c r="C41" s="127">
        <f>C33*C34+C36*C37+C39*C40</f>
        <v>470</v>
      </c>
      <c r="D41" s="140" t="s">
        <v>114</v>
      </c>
    </row>
    <row r="44" spans="2:6" ht="54.5" thickBot="1" x14ac:dyDescent="0.6">
      <c r="B44" s="7" t="s">
        <v>11</v>
      </c>
      <c r="C44" s="13" t="s">
        <v>27</v>
      </c>
      <c r="D44" s="13" t="s">
        <v>4</v>
      </c>
      <c r="E44" s="8" t="s">
        <v>28</v>
      </c>
    </row>
    <row r="45" spans="2:6" ht="18.5" thickBot="1" x14ac:dyDescent="0.6">
      <c r="B45" s="16" t="s">
        <v>251</v>
      </c>
      <c r="C45" s="348">
        <f>'1.Params_8.Sensitivity'!I11*'1.Params_8.Sensitivity'!I16*1000/10^5</f>
        <v>351823.5</v>
      </c>
      <c r="D45" s="342">
        <v>0</v>
      </c>
      <c r="E45" s="52">
        <f>C45+D45*'1.Params_8.Sensitivity'!$D$15</f>
        <v>351823.5</v>
      </c>
      <c r="F45" s="198" t="s">
        <v>194</v>
      </c>
    </row>
    <row r="46" spans="2:6" ht="18.5" thickBot="1" x14ac:dyDescent="0.6">
      <c r="B46" s="16" t="s">
        <v>14</v>
      </c>
      <c r="C46" s="348">
        <f>C45*0.01</f>
        <v>3518.2350000000001</v>
      </c>
      <c r="D46" s="342">
        <v>0</v>
      </c>
      <c r="E46" s="52">
        <f>C46+D46*'1.Params_8.Sensitivity'!$D$15</f>
        <v>3518.2350000000001</v>
      </c>
      <c r="F46" s="198" t="s">
        <v>172</v>
      </c>
    </row>
    <row r="47" spans="2:6" ht="18.5" thickBot="1" x14ac:dyDescent="0.6">
      <c r="B47" s="4" t="s">
        <v>6</v>
      </c>
      <c r="C47" s="53">
        <f>SUM(C48:C49)</f>
        <v>0</v>
      </c>
      <c r="D47" s="53">
        <f>SUM(D48:D49)</f>
        <v>0</v>
      </c>
      <c r="E47" s="52">
        <f>C47+D47*'1.Params_8.Sensitivity'!$D$15</f>
        <v>0</v>
      </c>
    </row>
    <row r="48" spans="2:6" ht="18.5" thickBot="1" x14ac:dyDescent="0.6">
      <c r="B48" s="4" t="s">
        <v>9</v>
      </c>
      <c r="C48" s="342">
        <v>0</v>
      </c>
      <c r="D48" s="342">
        <v>0</v>
      </c>
      <c r="E48" s="52">
        <f>C48+D48*'1.Params_8.Sensitivity'!$D$15</f>
        <v>0</v>
      </c>
    </row>
    <row r="49" spans="2:32" ht="18.5" thickBot="1" x14ac:dyDescent="0.6">
      <c r="B49" s="4" t="s">
        <v>10</v>
      </c>
      <c r="C49" s="342">
        <v>0</v>
      </c>
      <c r="D49" s="342">
        <v>0</v>
      </c>
      <c r="E49" s="52">
        <f>C49+D49*'1.Params_8.Sensitivity'!$D$15</f>
        <v>0</v>
      </c>
    </row>
    <row r="50" spans="2:32" ht="18.5" thickBot="1" x14ac:dyDescent="0.6">
      <c r="B50" s="4" t="s">
        <v>13</v>
      </c>
      <c r="C50" s="342">
        <v>0</v>
      </c>
      <c r="D50" s="342">
        <v>0</v>
      </c>
      <c r="E50" s="52">
        <f>C50+D50*'1.Params_8.Sensitivity'!$D$15</f>
        <v>0</v>
      </c>
    </row>
    <row r="51" spans="2:32" ht="18.5" thickBot="1" x14ac:dyDescent="0.6">
      <c r="B51" s="4" t="s">
        <v>8</v>
      </c>
      <c r="C51" s="342">
        <v>0</v>
      </c>
      <c r="D51" s="342">
        <v>0</v>
      </c>
      <c r="E51" s="52">
        <f>C51+D51*'1.Params_8.Sensitivity'!$D$15</f>
        <v>0</v>
      </c>
    </row>
    <row r="52" spans="2:32" x14ac:dyDescent="0.55000000000000004">
      <c r="B52" s="15" t="s">
        <v>175</v>
      </c>
      <c r="C52" s="51">
        <f>SUM(C45:C47,C50:C51)</f>
        <v>355341.73499999999</v>
      </c>
      <c r="D52" s="51">
        <f>SUM(D45:D47,D50:D51)</f>
        <v>0</v>
      </c>
      <c r="E52" s="126">
        <f>SUM(E45:E47,E50:E51)</f>
        <v>355341.73499999999</v>
      </c>
      <c r="F52" s="140" t="s">
        <v>114</v>
      </c>
    </row>
    <row r="53" spans="2:32" x14ac:dyDescent="0.55000000000000004">
      <c r="C53" s="1"/>
      <c r="D53" s="1"/>
      <c r="E53" s="1"/>
    </row>
    <row r="55" spans="2:32" ht="18.5" thickBot="1" x14ac:dyDescent="0.6">
      <c r="B55" s="9"/>
      <c r="C55" s="14">
        <v>1</v>
      </c>
      <c r="D55" s="12">
        <v>2</v>
      </c>
      <c r="E55" s="14">
        <v>3</v>
      </c>
      <c r="F55" s="12">
        <v>4</v>
      </c>
      <c r="G55" s="14">
        <v>5</v>
      </c>
      <c r="H55" s="83">
        <v>6</v>
      </c>
      <c r="I55" s="84">
        <v>7</v>
      </c>
      <c r="J55" s="83">
        <v>8</v>
      </c>
      <c r="K55" s="84">
        <v>9</v>
      </c>
      <c r="L55" s="83">
        <v>10</v>
      </c>
      <c r="M55" s="84">
        <v>11</v>
      </c>
      <c r="N55" s="83">
        <v>12</v>
      </c>
      <c r="O55" s="84">
        <v>13</v>
      </c>
      <c r="P55" s="83">
        <v>14</v>
      </c>
      <c r="Q55" s="84">
        <v>15</v>
      </c>
      <c r="R55" s="83">
        <v>16</v>
      </c>
      <c r="S55" s="84">
        <v>17</v>
      </c>
      <c r="T55" s="83">
        <v>18</v>
      </c>
      <c r="U55" s="84">
        <v>19</v>
      </c>
      <c r="V55" s="83">
        <v>20</v>
      </c>
      <c r="W55" s="84">
        <v>21</v>
      </c>
      <c r="X55" s="83">
        <v>22</v>
      </c>
      <c r="Y55" s="84">
        <v>23</v>
      </c>
      <c r="Z55" s="83">
        <v>24</v>
      </c>
      <c r="AA55" s="84">
        <v>25</v>
      </c>
      <c r="AB55" s="83">
        <v>26</v>
      </c>
      <c r="AC55" s="84">
        <v>27</v>
      </c>
      <c r="AD55" s="83">
        <v>28</v>
      </c>
      <c r="AE55" s="84">
        <v>29</v>
      </c>
      <c r="AF55" s="83">
        <v>30</v>
      </c>
    </row>
    <row r="56" spans="2:32" ht="18.5" thickBot="1" x14ac:dyDescent="0.6">
      <c r="B56" s="17" t="s">
        <v>245</v>
      </c>
      <c r="C56" s="347">
        <v>0</v>
      </c>
      <c r="D56" s="347">
        <v>0</v>
      </c>
      <c r="E56" s="347">
        <v>0</v>
      </c>
      <c r="F56" s="347">
        <v>0</v>
      </c>
      <c r="G56" s="347">
        <v>0</v>
      </c>
      <c r="H56" s="347">
        <f>'1.Params_8.Sensitivity'!I9</f>
        <v>0.8</v>
      </c>
      <c r="I56" s="347">
        <f>MIN(H56*(1+'1.Params_8.Sensitivity'!$I$6),1)</f>
        <v>0.87200000000000011</v>
      </c>
      <c r="J56" s="347">
        <f>MIN(I56*(1+'1.Params_8.Sensitivity'!$I$6),1)</f>
        <v>0.95048000000000021</v>
      </c>
      <c r="K56" s="347">
        <f>MIN(J56*(1+'1.Params_8.Sensitivity'!$I$6),1)</f>
        <v>1</v>
      </c>
      <c r="L56" s="347">
        <f>MIN(K56*(1+'1.Params_8.Sensitivity'!$I$6),1)</f>
        <v>1</v>
      </c>
      <c r="M56" s="347">
        <f>MIN(L56*(1+'1.Params_8.Sensitivity'!$I$6),1)</f>
        <v>1</v>
      </c>
      <c r="N56" s="347">
        <f>MIN(M56*(1+'1.Params_8.Sensitivity'!$I$6),1)</f>
        <v>1</v>
      </c>
      <c r="O56" s="347">
        <f>MIN(N56*(1+'1.Params_8.Sensitivity'!$I$6),1)</f>
        <v>1</v>
      </c>
      <c r="P56" s="347">
        <f>MIN(O56*(1+'1.Params_8.Sensitivity'!$I$6),1)</f>
        <v>1</v>
      </c>
      <c r="Q56" s="347">
        <f>MIN(P56*(1+'1.Params_8.Sensitivity'!$I$6),1)</f>
        <v>1</v>
      </c>
      <c r="R56" s="347">
        <f>MIN(Q56*(1+'1.Params_8.Sensitivity'!$I$6),1)</f>
        <v>1</v>
      </c>
      <c r="S56" s="347">
        <f>MIN(R56*(1+'1.Params_8.Sensitivity'!$I$6),1)</f>
        <v>1</v>
      </c>
      <c r="T56" s="347">
        <f>MIN(S56*(1+'1.Params_8.Sensitivity'!$I$6),1)</f>
        <v>1</v>
      </c>
      <c r="U56" s="347">
        <f>MIN(T56*(1+'1.Params_8.Sensitivity'!$I$6),1)</f>
        <v>1</v>
      </c>
      <c r="V56" s="347">
        <f>MIN(U56*(1+'1.Params_8.Sensitivity'!$I$6),1)</f>
        <v>1</v>
      </c>
      <c r="W56" s="347">
        <f>MIN(V56*(1+'1.Params_8.Sensitivity'!$I$6),1)</f>
        <v>1</v>
      </c>
      <c r="X56" s="347">
        <f>MIN(W56*(1+'1.Params_8.Sensitivity'!$I$6),1)</f>
        <v>1</v>
      </c>
      <c r="Y56" s="347">
        <f>MIN(X56*(1+'1.Params_8.Sensitivity'!$I$6),1)</f>
        <v>1</v>
      </c>
      <c r="Z56" s="347">
        <f>MIN(Y56*(1+'1.Params_8.Sensitivity'!$I$6),1)</f>
        <v>1</v>
      </c>
      <c r="AA56" s="347">
        <f>MIN(Z56*(1+'1.Params_8.Sensitivity'!$I$6),1)</f>
        <v>1</v>
      </c>
      <c r="AB56" s="347">
        <f>MIN(AA56*(1+'1.Params_8.Sensitivity'!$I$6),1)</f>
        <v>1</v>
      </c>
      <c r="AC56" s="347">
        <f>MIN(AB56*(1+'1.Params_8.Sensitivity'!$I$6),1)</f>
        <v>1</v>
      </c>
      <c r="AD56" s="347">
        <f>MIN(AC56*(1+'1.Params_8.Sensitivity'!$I$6),1)</f>
        <v>1</v>
      </c>
      <c r="AE56" s="347">
        <f>MIN(AD56*(1+'1.Params_8.Sensitivity'!$I$6),1)</f>
        <v>1</v>
      </c>
      <c r="AF56" s="347">
        <f>MIN(AE56*(1+'1.Params_8.Sensitivity'!$I$6),1)</f>
        <v>1</v>
      </c>
    </row>
    <row r="57" spans="2:32" x14ac:dyDescent="0.55000000000000004">
      <c r="B57" s="64" t="s">
        <v>176</v>
      </c>
      <c r="C57" s="68">
        <f t="shared" ref="C57:G57" si="5">$E$52*C$56</f>
        <v>0</v>
      </c>
      <c r="D57" s="68">
        <f t="shared" si="5"/>
        <v>0</v>
      </c>
      <c r="E57" s="68">
        <f t="shared" si="5"/>
        <v>0</v>
      </c>
      <c r="F57" s="68">
        <f t="shared" si="5"/>
        <v>0</v>
      </c>
      <c r="G57" s="68">
        <f t="shared" si="5"/>
        <v>0</v>
      </c>
      <c r="H57" s="68">
        <f t="shared" ref="H57:AF57" si="6">$E$52*H$56</f>
        <v>284273.38799999998</v>
      </c>
      <c r="I57" s="68">
        <f t="shared" si="6"/>
        <v>309857.99292000005</v>
      </c>
      <c r="J57" s="68">
        <f t="shared" si="6"/>
        <v>337745.21228280006</v>
      </c>
      <c r="K57" s="68">
        <f t="shared" si="6"/>
        <v>355341.73499999999</v>
      </c>
      <c r="L57" s="68">
        <f t="shared" si="6"/>
        <v>355341.73499999999</v>
      </c>
      <c r="M57" s="68">
        <f t="shared" si="6"/>
        <v>355341.73499999999</v>
      </c>
      <c r="N57" s="68">
        <f t="shared" si="6"/>
        <v>355341.73499999999</v>
      </c>
      <c r="O57" s="68">
        <f t="shared" si="6"/>
        <v>355341.73499999999</v>
      </c>
      <c r="P57" s="68">
        <f t="shared" si="6"/>
        <v>355341.73499999999</v>
      </c>
      <c r="Q57" s="68">
        <f t="shared" si="6"/>
        <v>355341.73499999999</v>
      </c>
      <c r="R57" s="68">
        <f t="shared" si="6"/>
        <v>355341.73499999999</v>
      </c>
      <c r="S57" s="68">
        <f t="shared" si="6"/>
        <v>355341.73499999999</v>
      </c>
      <c r="T57" s="68">
        <f t="shared" si="6"/>
        <v>355341.73499999999</v>
      </c>
      <c r="U57" s="68">
        <f t="shared" si="6"/>
        <v>355341.73499999999</v>
      </c>
      <c r="V57" s="68">
        <f t="shared" si="6"/>
        <v>355341.73499999999</v>
      </c>
      <c r="W57" s="68">
        <f t="shared" si="6"/>
        <v>355341.73499999999</v>
      </c>
      <c r="X57" s="68">
        <f t="shared" si="6"/>
        <v>355341.73499999999</v>
      </c>
      <c r="Y57" s="68">
        <f t="shared" si="6"/>
        <v>355341.73499999999</v>
      </c>
      <c r="Z57" s="68">
        <f t="shared" si="6"/>
        <v>355341.73499999999</v>
      </c>
      <c r="AA57" s="68">
        <f t="shared" si="6"/>
        <v>355341.73499999999</v>
      </c>
      <c r="AB57" s="68">
        <f t="shared" si="6"/>
        <v>355341.73499999999</v>
      </c>
      <c r="AC57" s="68">
        <f t="shared" si="6"/>
        <v>355341.73499999999</v>
      </c>
      <c r="AD57" s="68">
        <f t="shared" si="6"/>
        <v>355341.73499999999</v>
      </c>
      <c r="AE57" s="68">
        <f t="shared" si="6"/>
        <v>355341.73499999999</v>
      </c>
      <c r="AF57" s="68">
        <f t="shared" si="6"/>
        <v>355341.73499999999</v>
      </c>
    </row>
  </sheetData>
  <sheetProtection algorithmName="SHA-512" hashValue="Be6T38HkiMZKSa43mPETOV+HfszqbL8K7DaxYOnr6VABCo1vatlZ+Ecr0Dl+q6gqUcXXEN6k94qAVN4odaEwhQ==" saltValue="u+WziR3Ps06yeTE+9AK3dQ==" spinCount="100000" sheet="1" objects="1" scenarios="1" autoFilter="0"/>
  <mergeCells count="6">
    <mergeCell ref="I18:N23"/>
    <mergeCell ref="C29:G29"/>
    <mergeCell ref="C2:E2"/>
    <mergeCell ref="B2:B3"/>
    <mergeCell ref="F2:F3"/>
    <mergeCell ref="G2:G3"/>
  </mergeCells>
  <phoneticPr fontId="4"/>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AE0B78-9887-4D51-9A88-810CB8B753CA}">
  <sheetPr codeName="Sheet5">
    <tabColor theme="4" tint="0.59999389629810485"/>
  </sheetPr>
  <dimension ref="A1:AF20"/>
  <sheetViews>
    <sheetView zoomScale="80" zoomScaleNormal="80" workbookViewId="0">
      <pane xSplit="1" ySplit="1" topLeftCell="B2" activePane="bottomRight" state="frozen"/>
      <selection activeCell="B21" sqref="B21"/>
      <selection pane="topRight" activeCell="B21" sqref="B21"/>
      <selection pane="bottomLeft" activeCell="B21" sqref="B21"/>
      <selection pane="bottomRight" activeCell="B21" sqref="B21"/>
    </sheetView>
  </sheetViews>
  <sheetFormatPr defaultRowHeight="18" x14ac:dyDescent="0.55000000000000004"/>
  <cols>
    <col min="1" max="1" width="2.58203125" customWidth="1"/>
    <col min="2" max="2" width="70.75" customWidth="1"/>
    <col min="3" max="3" width="10.25" customWidth="1"/>
    <col min="4" max="6" width="8.6640625" customWidth="1"/>
    <col min="8" max="11" width="9.75" bestFit="1" customWidth="1"/>
    <col min="12" max="31" width="9.75" customWidth="1"/>
    <col min="32" max="32" width="9.75" bestFit="1" customWidth="1"/>
  </cols>
  <sheetData>
    <row r="1" spans="1:8" s="3" customFormat="1" ht="20" x14ac:dyDescent="0.6">
      <c r="A1" s="5" t="str">
        <f>"Financial Benefits ("&amp;MID('0.Contents'!A1,20,(LEN('0.Contents'!A1)-20))&amp;")"</f>
        <v>Financial Benefits (Power Distribution)</v>
      </c>
    </row>
    <row r="2" spans="1:8" x14ac:dyDescent="0.55000000000000004">
      <c r="B2" s="7" t="s">
        <v>11</v>
      </c>
      <c r="C2" s="9"/>
    </row>
    <row r="3" spans="1:8" x14ac:dyDescent="0.55000000000000004">
      <c r="B3" s="16" t="s">
        <v>76</v>
      </c>
    </row>
    <row r="4" spans="1:8" x14ac:dyDescent="0.55000000000000004">
      <c r="B4" s="16" t="str">
        <f>_xlfn.CONCAT("    ", '1.Params_8.Sensitivity'!G13)</f>
        <v xml:space="preserve">    Additional Supply of Electricity to Meet Demand per year</v>
      </c>
      <c r="C4" s="55">
        <f>'1.Params_8.Sensitivity'!$I13</f>
        <v>4938559.5</v>
      </c>
    </row>
    <row r="5" spans="1:8" x14ac:dyDescent="0.55000000000000004">
      <c r="B5" s="16" t="str">
        <f>_xlfn.CONCAT("    ", '1.Params_8.Sensitivity'!G15)</f>
        <v xml:space="preserve">    Average Sales Rate per kWh</v>
      </c>
      <c r="C5" s="88">
        <f>'1.Params_8.Sensitivity'!$I15</f>
        <v>8.0500000000000007</v>
      </c>
      <c r="E5" s="349"/>
    </row>
    <row r="6" spans="1:8" x14ac:dyDescent="0.55000000000000004">
      <c r="B6" s="16" t="s">
        <v>77</v>
      </c>
      <c r="C6" s="88"/>
    </row>
    <row r="7" spans="1:8" x14ac:dyDescent="0.55000000000000004">
      <c r="B7" s="16" t="str">
        <f>B4</f>
        <v xml:space="preserve">    Additional Supply of Electricity to Meet Demand per year</v>
      </c>
      <c r="C7" s="88"/>
    </row>
    <row r="8" spans="1:8" x14ac:dyDescent="0.55000000000000004">
      <c r="B8" s="16" t="str">
        <f>B5</f>
        <v xml:space="preserve">    Average Sales Rate per kWh</v>
      </c>
      <c r="C8" s="88"/>
    </row>
    <row r="9" spans="1:8" x14ac:dyDescent="0.55000000000000004">
      <c r="B9" s="16" t="s">
        <v>78</v>
      </c>
      <c r="C9" s="88"/>
    </row>
    <row r="10" spans="1:8" x14ac:dyDescent="0.55000000000000004">
      <c r="B10" s="16" t="str">
        <f>B4</f>
        <v xml:space="preserve">    Additional Supply of Electricity to Meet Demand per year</v>
      </c>
      <c r="C10" s="88"/>
    </row>
    <row r="11" spans="1:8" x14ac:dyDescent="0.55000000000000004">
      <c r="B11" s="16" t="str">
        <f>B5</f>
        <v xml:space="preserve">    Average Sales Rate per kWh</v>
      </c>
      <c r="C11" s="88"/>
    </row>
    <row r="12" spans="1:8" x14ac:dyDescent="0.55000000000000004">
      <c r="B12" s="15" t="s">
        <v>34</v>
      </c>
      <c r="C12" s="126">
        <f>(C4*C5+C7*C8+C10*C11)*1000/10^5</f>
        <v>397554.03975</v>
      </c>
      <c r="D12" s="140" t="s">
        <v>114</v>
      </c>
    </row>
    <row r="14" spans="1:8" x14ac:dyDescent="0.55000000000000004">
      <c r="B14" s="9"/>
      <c r="C14" s="65">
        <v>1</v>
      </c>
      <c r="D14" s="7">
        <v>2</v>
      </c>
      <c r="E14" s="65">
        <v>3</v>
      </c>
      <c r="F14" s="7">
        <v>4</v>
      </c>
      <c r="G14" s="65">
        <v>5</v>
      </c>
      <c r="H14" s="69"/>
    </row>
    <row r="15" spans="1:8" x14ac:dyDescent="0.55000000000000004">
      <c r="B15" s="17" t="s">
        <v>246</v>
      </c>
      <c r="C15" s="67">
        <f>'2b.FCosts'!C56</f>
        <v>0</v>
      </c>
      <c r="D15" s="67">
        <f>'2b.FCosts'!D56</f>
        <v>0</v>
      </c>
      <c r="E15" s="67">
        <f>'2b.FCosts'!E56</f>
        <v>0</v>
      </c>
      <c r="F15" s="67">
        <f>'2b.FCosts'!F56</f>
        <v>0</v>
      </c>
      <c r="G15" s="67">
        <f>'2b.FCosts'!G56</f>
        <v>0</v>
      </c>
      <c r="H15" s="67"/>
    </row>
    <row r="16" spans="1:8" x14ac:dyDescent="0.55000000000000004">
      <c r="B16" s="64" t="s">
        <v>42</v>
      </c>
      <c r="C16" s="66">
        <f>$C$12*'3.FBenefits'!C$15</f>
        <v>0</v>
      </c>
      <c r="D16" s="66">
        <f>$C$12*'3.FBenefits'!D$15</f>
        <v>0</v>
      </c>
      <c r="E16" s="66">
        <f>$C$12*'3.FBenefits'!E$15</f>
        <v>0</v>
      </c>
      <c r="F16" s="66">
        <f>$C$12*'3.FBenefits'!F$15</f>
        <v>0</v>
      </c>
      <c r="G16" s="66">
        <f>$C$12*'3.FBenefits'!G$15</f>
        <v>0</v>
      </c>
      <c r="H16" s="70"/>
    </row>
    <row r="18" spans="2:32" x14ac:dyDescent="0.55000000000000004">
      <c r="B18" s="17"/>
      <c r="C18" s="14">
        <v>1</v>
      </c>
      <c r="D18" s="12">
        <v>2</v>
      </c>
      <c r="E18" s="14">
        <v>3</v>
      </c>
      <c r="F18" s="12">
        <v>4</v>
      </c>
      <c r="G18" s="14">
        <v>5</v>
      </c>
      <c r="H18" s="83">
        <v>6</v>
      </c>
      <c r="I18" s="84">
        <v>7</v>
      </c>
      <c r="J18" s="83">
        <v>8</v>
      </c>
      <c r="K18" s="84">
        <v>9</v>
      </c>
      <c r="L18" s="83">
        <v>10</v>
      </c>
      <c r="M18" s="84">
        <v>11</v>
      </c>
      <c r="N18" s="83">
        <v>12</v>
      </c>
      <c r="O18" s="84">
        <v>13</v>
      </c>
      <c r="P18" s="83">
        <v>14</v>
      </c>
      <c r="Q18" s="84">
        <v>15</v>
      </c>
      <c r="R18" s="83">
        <v>16</v>
      </c>
      <c r="S18" s="84">
        <v>17</v>
      </c>
      <c r="T18" s="83">
        <v>18</v>
      </c>
      <c r="U18" s="84">
        <v>19</v>
      </c>
      <c r="V18" s="83">
        <v>20</v>
      </c>
      <c r="W18" s="84">
        <v>21</v>
      </c>
      <c r="X18" s="83">
        <v>22</v>
      </c>
      <c r="Y18" s="84">
        <v>23</v>
      </c>
      <c r="Z18" s="83">
        <v>24</v>
      </c>
      <c r="AA18" s="84">
        <v>25</v>
      </c>
      <c r="AB18" s="83">
        <v>26</v>
      </c>
      <c r="AC18" s="84">
        <v>27</v>
      </c>
      <c r="AD18" s="83">
        <v>28</v>
      </c>
      <c r="AE18" s="84">
        <v>29</v>
      </c>
      <c r="AF18" s="83">
        <v>30</v>
      </c>
    </row>
    <row r="19" spans="2:32" x14ac:dyDescent="0.55000000000000004">
      <c r="B19" s="17" t="s">
        <v>247</v>
      </c>
      <c r="C19" s="74"/>
      <c r="D19" s="74"/>
      <c r="E19" s="74"/>
      <c r="F19" s="74"/>
      <c r="G19" s="74"/>
      <c r="H19" s="74">
        <f>'2b.FCosts'!H$56</f>
        <v>0.8</v>
      </c>
      <c r="I19" s="74">
        <f>'2b.FCosts'!I$56</f>
        <v>0.87200000000000011</v>
      </c>
      <c r="J19" s="74">
        <f>'2b.FCosts'!J$56</f>
        <v>0.95048000000000021</v>
      </c>
      <c r="K19" s="74">
        <f>'2b.FCosts'!K$56</f>
        <v>1</v>
      </c>
      <c r="L19" s="74">
        <f>'2b.FCosts'!L$56</f>
        <v>1</v>
      </c>
      <c r="M19" s="74">
        <f>'2b.FCosts'!M$56</f>
        <v>1</v>
      </c>
      <c r="N19" s="74">
        <f>'2b.FCosts'!N$56</f>
        <v>1</v>
      </c>
      <c r="O19" s="74">
        <f>'2b.FCosts'!O$56</f>
        <v>1</v>
      </c>
      <c r="P19" s="74">
        <f>'2b.FCosts'!P$56</f>
        <v>1</v>
      </c>
      <c r="Q19" s="74">
        <f>'2b.FCosts'!Q$56</f>
        <v>1</v>
      </c>
      <c r="R19" s="74">
        <f>'2b.FCosts'!R$56</f>
        <v>1</v>
      </c>
      <c r="S19" s="74">
        <f>'2b.FCosts'!S$56</f>
        <v>1</v>
      </c>
      <c r="T19" s="74">
        <f>'2b.FCosts'!T$56</f>
        <v>1</v>
      </c>
      <c r="U19" s="74">
        <f>'2b.FCosts'!U$56</f>
        <v>1</v>
      </c>
      <c r="V19" s="74">
        <f>'2b.FCosts'!V$56</f>
        <v>1</v>
      </c>
      <c r="W19" s="74">
        <f>'2b.FCosts'!W$56</f>
        <v>1</v>
      </c>
      <c r="X19" s="74">
        <f>'2b.FCosts'!X$56</f>
        <v>1</v>
      </c>
      <c r="Y19" s="74">
        <f>'2b.FCosts'!Y$56</f>
        <v>1</v>
      </c>
      <c r="Z19" s="74">
        <f>'2b.FCosts'!Z$56</f>
        <v>1</v>
      </c>
      <c r="AA19" s="74">
        <f>'2b.FCosts'!AA$56</f>
        <v>1</v>
      </c>
      <c r="AB19" s="74">
        <f>'2b.FCosts'!AB$56</f>
        <v>1</v>
      </c>
      <c r="AC19" s="74">
        <f>'2b.FCosts'!AC$56</f>
        <v>1</v>
      </c>
      <c r="AD19" s="74">
        <f>'2b.FCosts'!AD$56</f>
        <v>1</v>
      </c>
      <c r="AE19" s="74">
        <f>'2b.FCosts'!AE$56</f>
        <v>1</v>
      </c>
      <c r="AF19" s="74">
        <f>'2b.FCosts'!AF$56</f>
        <v>1</v>
      </c>
    </row>
    <row r="20" spans="2:32" x14ac:dyDescent="0.55000000000000004">
      <c r="B20" s="64" t="s">
        <v>166</v>
      </c>
      <c r="C20" s="263" t="s">
        <v>204</v>
      </c>
      <c r="D20" s="263" t="s">
        <v>204</v>
      </c>
      <c r="E20" s="263" t="s">
        <v>204</v>
      </c>
      <c r="F20" s="263" t="s">
        <v>204</v>
      </c>
      <c r="G20" s="263" t="s">
        <v>204</v>
      </c>
      <c r="H20" s="68">
        <f>$C$12*H$19</f>
        <v>318043.23180000001</v>
      </c>
      <c r="I20" s="68">
        <f t="shared" ref="I20:AF20" si="0">$C$12*I$19</f>
        <v>346667.12266200007</v>
      </c>
      <c r="J20" s="68">
        <f t="shared" si="0"/>
        <v>377867.16370158008</v>
      </c>
      <c r="K20" s="68">
        <f t="shared" si="0"/>
        <v>397554.03975</v>
      </c>
      <c r="L20" s="68">
        <f t="shared" si="0"/>
        <v>397554.03975</v>
      </c>
      <c r="M20" s="68">
        <f t="shared" si="0"/>
        <v>397554.03975</v>
      </c>
      <c r="N20" s="68">
        <f t="shared" si="0"/>
        <v>397554.03975</v>
      </c>
      <c r="O20" s="68">
        <f t="shared" si="0"/>
        <v>397554.03975</v>
      </c>
      <c r="P20" s="68">
        <f t="shared" si="0"/>
        <v>397554.03975</v>
      </c>
      <c r="Q20" s="68">
        <f t="shared" si="0"/>
        <v>397554.03975</v>
      </c>
      <c r="R20" s="68">
        <f t="shared" si="0"/>
        <v>397554.03975</v>
      </c>
      <c r="S20" s="68">
        <f t="shared" si="0"/>
        <v>397554.03975</v>
      </c>
      <c r="T20" s="68">
        <f t="shared" si="0"/>
        <v>397554.03975</v>
      </c>
      <c r="U20" s="68">
        <f t="shared" si="0"/>
        <v>397554.03975</v>
      </c>
      <c r="V20" s="68">
        <f t="shared" si="0"/>
        <v>397554.03975</v>
      </c>
      <c r="W20" s="68">
        <f t="shared" si="0"/>
        <v>397554.03975</v>
      </c>
      <c r="X20" s="68">
        <f t="shared" si="0"/>
        <v>397554.03975</v>
      </c>
      <c r="Y20" s="68">
        <f t="shared" si="0"/>
        <v>397554.03975</v>
      </c>
      <c r="Z20" s="68">
        <f t="shared" si="0"/>
        <v>397554.03975</v>
      </c>
      <c r="AA20" s="68">
        <f t="shared" si="0"/>
        <v>397554.03975</v>
      </c>
      <c r="AB20" s="68">
        <f t="shared" si="0"/>
        <v>397554.03975</v>
      </c>
      <c r="AC20" s="68">
        <f t="shared" si="0"/>
        <v>397554.03975</v>
      </c>
      <c r="AD20" s="68">
        <f t="shared" si="0"/>
        <v>397554.03975</v>
      </c>
      <c r="AE20" s="68">
        <f t="shared" si="0"/>
        <v>397554.03975</v>
      </c>
      <c r="AF20" s="68">
        <f t="shared" si="0"/>
        <v>397554.03975</v>
      </c>
    </row>
  </sheetData>
  <sheetProtection algorithmName="SHA-512" hashValue="Da5Pi+Y7TTPzq3iMHiHaCKpTWTqaBm9+QiJnDSQvV+CC4iVVq1jdi1tpXgaKQpqLpyPpgI/ZoHyM06xupQ3PFg==" saltValue="VGWrsns0ERPuR+t3Z6T4BA==" spinCount="100000" sheet="1" objects="1" scenarios="1" autoFilter="0"/>
  <phoneticPr fontId="4"/>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2AFBF7-0FCA-4A0B-B1D1-039C48F07C8B}">
  <sheetPr codeName="Sheet6">
    <tabColor theme="4" tint="0.59999389629810485"/>
  </sheetPr>
  <dimension ref="A1:AH33"/>
  <sheetViews>
    <sheetView zoomScale="70" zoomScaleNormal="70" workbookViewId="0">
      <pane xSplit="1" ySplit="1" topLeftCell="B2" activePane="bottomRight" state="frozen"/>
      <selection activeCell="B21" sqref="B21"/>
      <selection pane="topRight" activeCell="B21" sqref="B21"/>
      <selection pane="bottomLeft" activeCell="B21" sqref="B21"/>
      <selection pane="bottomRight" activeCell="B21" sqref="B21"/>
    </sheetView>
  </sheetViews>
  <sheetFormatPr defaultRowHeight="18" x14ac:dyDescent="0.55000000000000004"/>
  <cols>
    <col min="1" max="1" width="2.58203125" customWidth="1"/>
    <col min="2" max="2" width="46.58203125" customWidth="1"/>
    <col min="3" max="3" width="11.58203125" customWidth="1"/>
    <col min="4" max="4" width="8.58203125" customWidth="1"/>
    <col min="5" max="5" width="9.6640625" bestFit="1" customWidth="1"/>
    <col min="6" max="8" width="8.58203125" customWidth="1"/>
    <col min="9" max="15" width="10.4140625" bestFit="1" customWidth="1"/>
    <col min="16" max="31" width="10.4140625" customWidth="1"/>
    <col min="32" max="33" width="10.4140625" bestFit="1" customWidth="1"/>
    <col min="34" max="34" width="8.58203125" customWidth="1"/>
  </cols>
  <sheetData>
    <row r="1" spans="1:34" s="3" customFormat="1" ht="20" x14ac:dyDescent="0.6">
      <c r="A1" s="5" t="str">
        <f>"Cash Flows of Financial Costs and Benefits ("&amp;MID('0.Contents'!A1,20,(LEN('0.Contents'!A1)-20))&amp;")----Horizontal format"</f>
        <v>Cash Flows of Financial Costs and Benefits (Power Distribution)----Horizontal format</v>
      </c>
    </row>
    <row r="2" spans="1:34" ht="20" x14ac:dyDescent="0.6">
      <c r="A2" s="6"/>
      <c r="B2" s="397" t="s">
        <v>169</v>
      </c>
      <c r="C2" s="399" t="s">
        <v>24</v>
      </c>
      <c r="D2" s="402" t="s">
        <v>0</v>
      </c>
      <c r="E2" s="402"/>
      <c r="F2" s="402"/>
      <c r="G2" s="402"/>
      <c r="H2" s="402"/>
      <c r="I2" s="402"/>
      <c r="J2" s="402"/>
      <c r="K2" s="402"/>
      <c r="L2" s="402"/>
      <c r="M2" s="402"/>
      <c r="N2" s="402"/>
      <c r="O2" s="402"/>
      <c r="P2" s="402"/>
      <c r="Q2" s="402"/>
      <c r="R2" s="402"/>
      <c r="S2" s="402"/>
      <c r="T2" s="402"/>
      <c r="U2" s="402"/>
      <c r="V2" s="402"/>
      <c r="W2" s="402"/>
      <c r="X2" s="402"/>
      <c r="Y2" s="402"/>
      <c r="Z2" s="402"/>
      <c r="AA2" s="402"/>
      <c r="AB2" s="402"/>
      <c r="AC2" s="402"/>
      <c r="AD2" s="402"/>
      <c r="AE2" s="402"/>
      <c r="AF2" s="402"/>
      <c r="AG2" s="402"/>
      <c r="AH2" s="397" t="s">
        <v>30</v>
      </c>
    </row>
    <row r="3" spans="1:34" ht="20" x14ac:dyDescent="0.6">
      <c r="A3" s="6"/>
      <c r="B3" s="398"/>
      <c r="C3" s="401"/>
      <c r="D3" s="11">
        <v>1</v>
      </c>
      <c r="E3" s="11">
        <v>2</v>
      </c>
      <c r="F3" s="11">
        <v>3</v>
      </c>
      <c r="G3" s="11">
        <v>4</v>
      </c>
      <c r="H3" s="11">
        <v>5</v>
      </c>
      <c r="I3" s="85">
        <v>6</v>
      </c>
      <c r="J3" s="85">
        <v>7</v>
      </c>
      <c r="K3" s="85">
        <v>8</v>
      </c>
      <c r="L3" s="85">
        <v>9</v>
      </c>
      <c r="M3" s="85">
        <v>10</v>
      </c>
      <c r="N3" s="85">
        <v>11</v>
      </c>
      <c r="O3" s="85">
        <v>12</v>
      </c>
      <c r="P3" s="85">
        <v>13</v>
      </c>
      <c r="Q3" s="85">
        <v>14</v>
      </c>
      <c r="R3" s="85">
        <v>15</v>
      </c>
      <c r="S3" s="85">
        <v>16</v>
      </c>
      <c r="T3" s="85">
        <v>17</v>
      </c>
      <c r="U3" s="85">
        <v>18</v>
      </c>
      <c r="V3" s="85">
        <v>19</v>
      </c>
      <c r="W3" s="85">
        <v>20</v>
      </c>
      <c r="X3" s="85">
        <v>21</v>
      </c>
      <c r="Y3" s="85">
        <v>22</v>
      </c>
      <c r="Z3" s="85">
        <v>23</v>
      </c>
      <c r="AA3" s="85">
        <v>24</v>
      </c>
      <c r="AB3" s="85">
        <v>25</v>
      </c>
      <c r="AC3" s="85">
        <v>26</v>
      </c>
      <c r="AD3" s="85">
        <v>27</v>
      </c>
      <c r="AE3" s="85">
        <v>28</v>
      </c>
      <c r="AF3" s="85">
        <v>29</v>
      </c>
      <c r="AG3" s="85">
        <v>30</v>
      </c>
      <c r="AH3" s="398"/>
    </row>
    <row r="4" spans="1:34" x14ac:dyDescent="0.55000000000000004">
      <c r="B4" s="19" t="s">
        <v>1</v>
      </c>
      <c r="C4" s="40">
        <f>SUM(D4:AG4)+C7</f>
        <v>8975664.4437488262</v>
      </c>
      <c r="D4" s="41">
        <f>SUM(D5:D6)*'1.Params_8.Sensitivity'!$D$26</f>
        <v>1229.9273015063013</v>
      </c>
      <c r="E4" s="41">
        <f>SUM(E5:E6)*'1.Params_8.Sensitivity'!$D$26</f>
        <v>80625.888497837819</v>
      </c>
      <c r="F4" s="41">
        <f>SUM(F5:F6)*'1.Params_8.Sensitivity'!$D$26</f>
        <v>89655.783613176449</v>
      </c>
      <c r="G4" s="41">
        <f>SUM(G5:G6)*'1.Params_8.Sensitivity'!$D$26</f>
        <v>53814.946765414126</v>
      </c>
      <c r="H4" s="41">
        <f>SUM(H5:H6)*'1.Params_8.Sensitivity'!$D$26</f>
        <v>1413.1343680886444</v>
      </c>
      <c r="I4" s="41">
        <f>SUM(I5:I6)*'1.Params_8.Sensitivity'!$D$26</f>
        <v>284273.38799999998</v>
      </c>
      <c r="J4" s="41">
        <f>SUM(J5:J6)*'1.Params_8.Sensitivity'!$D$26</f>
        <v>309857.99292000005</v>
      </c>
      <c r="K4" s="41">
        <f>SUM(K5:K6)*'1.Params_8.Sensitivity'!$D$26</f>
        <v>337745.21228280006</v>
      </c>
      <c r="L4" s="41">
        <f>SUM(L5:L6)*'1.Params_8.Sensitivity'!$D$26</f>
        <v>355341.73499999999</v>
      </c>
      <c r="M4" s="41">
        <f>SUM(M5:M6)*'1.Params_8.Sensitivity'!$D$26</f>
        <v>355341.73499999999</v>
      </c>
      <c r="N4" s="41">
        <f>SUM(N5:N6)*'1.Params_8.Sensitivity'!$D$26</f>
        <v>355341.73499999999</v>
      </c>
      <c r="O4" s="41">
        <f>SUM(O5:O6)*'1.Params_8.Sensitivity'!$D$26</f>
        <v>355341.73499999999</v>
      </c>
      <c r="P4" s="41">
        <f>SUM(P5:P6)*'1.Params_8.Sensitivity'!$D$26</f>
        <v>355341.73499999999</v>
      </c>
      <c r="Q4" s="41">
        <f>SUM(Q5:Q6)*'1.Params_8.Sensitivity'!$D$26</f>
        <v>355341.73499999999</v>
      </c>
      <c r="R4" s="41">
        <f>SUM(R5:R6)*'1.Params_8.Sensitivity'!$D$26</f>
        <v>355341.73499999999</v>
      </c>
      <c r="S4" s="41">
        <f>SUM(S5:S6)*'1.Params_8.Sensitivity'!$D$26</f>
        <v>355341.73499999999</v>
      </c>
      <c r="T4" s="41">
        <f>SUM(T5:T6)*'1.Params_8.Sensitivity'!$D$26</f>
        <v>355341.73499999999</v>
      </c>
      <c r="U4" s="41">
        <f>SUM(U5:U6)*'1.Params_8.Sensitivity'!$D$26</f>
        <v>355341.73499999999</v>
      </c>
      <c r="V4" s="41">
        <f>SUM(V5:V6)*'1.Params_8.Sensitivity'!$D$26</f>
        <v>355341.73499999999</v>
      </c>
      <c r="W4" s="41">
        <f>SUM(W5:W6)*'1.Params_8.Sensitivity'!$D$26</f>
        <v>355341.73499999999</v>
      </c>
      <c r="X4" s="41">
        <f>SUM(X5:X6)*'1.Params_8.Sensitivity'!$D$26</f>
        <v>355341.73499999999</v>
      </c>
      <c r="Y4" s="41">
        <f>SUM(Y5:Y6)*'1.Params_8.Sensitivity'!$D$26</f>
        <v>355341.73499999999</v>
      </c>
      <c r="Z4" s="41">
        <f>SUM(Z5:Z6)*'1.Params_8.Sensitivity'!$D$26</f>
        <v>355341.73499999999</v>
      </c>
      <c r="AA4" s="41">
        <f>SUM(AA5:AA6)*'1.Params_8.Sensitivity'!$D$26</f>
        <v>355341.73499999999</v>
      </c>
      <c r="AB4" s="41">
        <f>SUM(AB5:AB6)*'1.Params_8.Sensitivity'!$D$26</f>
        <v>355341.73499999999</v>
      </c>
      <c r="AC4" s="41">
        <f>SUM(AC5:AC6)*'1.Params_8.Sensitivity'!$D$26</f>
        <v>355341.73499999999</v>
      </c>
      <c r="AD4" s="41">
        <f>SUM(AD5:AD6)*'1.Params_8.Sensitivity'!$D$26</f>
        <v>355341.73499999999</v>
      </c>
      <c r="AE4" s="41">
        <f>SUM(AE5:AE6)*'1.Params_8.Sensitivity'!$D$26</f>
        <v>355341.73499999999</v>
      </c>
      <c r="AF4" s="41">
        <f>SUM(AF5:AF6)*'1.Params_8.Sensitivity'!$D$26</f>
        <v>355341.73499999999</v>
      </c>
      <c r="AG4" s="41">
        <f>SUM(AG5:AG6)*'1.Params_8.Sensitivity'!$D$26</f>
        <v>355341.73499999999</v>
      </c>
      <c r="AH4" s="41"/>
    </row>
    <row r="5" spans="1:34" x14ac:dyDescent="0.55000000000000004">
      <c r="B5" s="20" t="s">
        <v>182</v>
      </c>
      <c r="C5" s="39">
        <f t="shared" ref="C5:C6" si="0">SUM(D5:AG5)</f>
        <v>226739.68054602336</v>
      </c>
      <c r="D5" s="208">
        <f>'2b.FCosts'!C28</f>
        <v>1229.9273015063013</v>
      </c>
      <c r="E5" s="354">
        <f>'2b.FCosts'!D28</f>
        <v>80625.888497837819</v>
      </c>
      <c r="F5" s="208">
        <f>'2b.FCosts'!E28</f>
        <v>89655.783613176449</v>
      </c>
      <c r="G5" s="208">
        <f>'2b.FCosts'!F28</f>
        <v>53814.946765414126</v>
      </c>
      <c r="H5" s="208">
        <f>'2b.FCosts'!G28</f>
        <v>1413.1343680886444</v>
      </c>
      <c r="I5" s="75" t="s">
        <v>31</v>
      </c>
      <c r="J5" s="75" t="s">
        <v>31</v>
      </c>
      <c r="K5" s="75" t="s">
        <v>31</v>
      </c>
      <c r="L5" s="75" t="s">
        <v>31</v>
      </c>
      <c r="M5" s="75" t="s">
        <v>31</v>
      </c>
      <c r="N5" s="75" t="s">
        <v>31</v>
      </c>
      <c r="O5" s="75" t="s">
        <v>31</v>
      </c>
      <c r="P5" s="75" t="s">
        <v>31</v>
      </c>
      <c r="Q5" s="75" t="s">
        <v>31</v>
      </c>
      <c r="R5" s="75" t="s">
        <v>31</v>
      </c>
      <c r="S5" s="75" t="s">
        <v>31</v>
      </c>
      <c r="T5" s="75" t="s">
        <v>31</v>
      </c>
      <c r="U5" s="75" t="s">
        <v>31</v>
      </c>
      <c r="V5" s="75" t="s">
        <v>31</v>
      </c>
      <c r="W5" s="75" t="s">
        <v>31</v>
      </c>
      <c r="X5" s="75" t="s">
        <v>31</v>
      </c>
      <c r="Y5" s="75" t="s">
        <v>31</v>
      </c>
      <c r="Z5" s="75" t="s">
        <v>31</v>
      </c>
      <c r="AA5" s="75" t="s">
        <v>31</v>
      </c>
      <c r="AB5" s="75" t="s">
        <v>31</v>
      </c>
      <c r="AC5" s="75" t="s">
        <v>31</v>
      </c>
      <c r="AD5" s="75" t="s">
        <v>31</v>
      </c>
      <c r="AE5" s="75" t="s">
        <v>31</v>
      </c>
      <c r="AF5" s="75" t="s">
        <v>31</v>
      </c>
      <c r="AG5" s="75" t="s">
        <v>31</v>
      </c>
      <c r="AH5" s="39"/>
    </row>
    <row r="6" spans="1:34" x14ac:dyDescent="0.55000000000000004">
      <c r="B6" s="20" t="s">
        <v>183</v>
      </c>
      <c r="C6" s="39">
        <f t="shared" si="0"/>
        <v>8749394.7632028013</v>
      </c>
      <c r="D6" s="226">
        <f>'2b.FCosts'!C57</f>
        <v>0</v>
      </c>
      <c r="E6" s="226">
        <f>'2b.FCosts'!D57</f>
        <v>0</v>
      </c>
      <c r="F6" s="226">
        <f>'2b.FCosts'!E57</f>
        <v>0</v>
      </c>
      <c r="G6" s="226">
        <f>'2b.FCosts'!F57</f>
        <v>0</v>
      </c>
      <c r="H6" s="226">
        <f>'2b.FCosts'!G57</f>
        <v>0</v>
      </c>
      <c r="I6" s="209">
        <f>'2b.FCosts'!H57</f>
        <v>284273.38799999998</v>
      </c>
      <c r="J6" s="209">
        <f>'2b.FCosts'!I57</f>
        <v>309857.99292000005</v>
      </c>
      <c r="K6" s="209">
        <f>'2b.FCosts'!J57</f>
        <v>337745.21228280006</v>
      </c>
      <c r="L6" s="209">
        <f>'2b.FCosts'!K57</f>
        <v>355341.73499999999</v>
      </c>
      <c r="M6" s="209">
        <f>'2b.FCosts'!L57</f>
        <v>355341.73499999999</v>
      </c>
      <c r="N6" s="209">
        <f>'2b.FCosts'!M57</f>
        <v>355341.73499999999</v>
      </c>
      <c r="O6" s="209">
        <f>'2b.FCosts'!N57</f>
        <v>355341.73499999999</v>
      </c>
      <c r="P6" s="209">
        <f>'2b.FCosts'!O57</f>
        <v>355341.73499999999</v>
      </c>
      <c r="Q6" s="209">
        <f>'2b.FCosts'!P57</f>
        <v>355341.73499999999</v>
      </c>
      <c r="R6" s="209">
        <f>'2b.FCosts'!Q57</f>
        <v>355341.73499999999</v>
      </c>
      <c r="S6" s="209">
        <f>'2b.FCosts'!R57</f>
        <v>355341.73499999999</v>
      </c>
      <c r="T6" s="209">
        <f>'2b.FCosts'!S57</f>
        <v>355341.73499999999</v>
      </c>
      <c r="U6" s="209">
        <f>'2b.FCosts'!T57</f>
        <v>355341.73499999999</v>
      </c>
      <c r="V6" s="209">
        <f>'2b.FCosts'!U57</f>
        <v>355341.73499999999</v>
      </c>
      <c r="W6" s="209">
        <f>'2b.FCosts'!V57</f>
        <v>355341.73499999999</v>
      </c>
      <c r="X6" s="209">
        <f>'2b.FCosts'!W57</f>
        <v>355341.73499999999</v>
      </c>
      <c r="Y6" s="209">
        <f>'2b.FCosts'!X57</f>
        <v>355341.73499999999</v>
      </c>
      <c r="Z6" s="209">
        <f>'2b.FCosts'!Y57</f>
        <v>355341.73499999999</v>
      </c>
      <c r="AA6" s="209">
        <f>'2b.FCosts'!Z57</f>
        <v>355341.73499999999</v>
      </c>
      <c r="AB6" s="209">
        <f>'2b.FCosts'!AA57</f>
        <v>355341.73499999999</v>
      </c>
      <c r="AC6" s="209">
        <f>'2b.FCosts'!AB57</f>
        <v>355341.73499999999</v>
      </c>
      <c r="AD6" s="209">
        <f>'2b.FCosts'!AC57</f>
        <v>355341.73499999999</v>
      </c>
      <c r="AE6" s="209">
        <f>'2b.FCosts'!AD57</f>
        <v>355341.73499999999</v>
      </c>
      <c r="AF6" s="209">
        <f>'2b.FCosts'!AE57</f>
        <v>355341.73499999999</v>
      </c>
      <c r="AG6" s="209">
        <f>'2b.FCosts'!AF57</f>
        <v>355341.73499999999</v>
      </c>
      <c r="AH6" s="39"/>
    </row>
    <row r="7" spans="1:34" x14ac:dyDescent="0.55000000000000004">
      <c r="B7" s="20" t="s">
        <v>184</v>
      </c>
      <c r="C7" s="39">
        <f>AH7</f>
        <v>-470</v>
      </c>
      <c r="D7" s="75" t="s">
        <v>31</v>
      </c>
      <c r="E7" s="75" t="s">
        <v>31</v>
      </c>
      <c r="F7" s="75" t="s">
        <v>31</v>
      </c>
      <c r="G7" s="75" t="s">
        <v>31</v>
      </c>
      <c r="H7" s="75" t="s">
        <v>31</v>
      </c>
      <c r="I7" s="75" t="s">
        <v>31</v>
      </c>
      <c r="J7" s="75" t="s">
        <v>31</v>
      </c>
      <c r="K7" s="75" t="s">
        <v>31</v>
      </c>
      <c r="L7" s="75" t="s">
        <v>31</v>
      </c>
      <c r="M7" s="75" t="s">
        <v>31</v>
      </c>
      <c r="N7" s="75" t="s">
        <v>31</v>
      </c>
      <c r="O7" s="75" t="s">
        <v>31</v>
      </c>
      <c r="P7" s="75" t="s">
        <v>31</v>
      </c>
      <c r="Q7" s="75" t="s">
        <v>31</v>
      </c>
      <c r="R7" s="75" t="s">
        <v>31</v>
      </c>
      <c r="S7" s="75" t="s">
        <v>31</v>
      </c>
      <c r="T7" s="75" t="s">
        <v>31</v>
      </c>
      <c r="U7" s="75" t="s">
        <v>31</v>
      </c>
      <c r="V7" s="75" t="s">
        <v>31</v>
      </c>
      <c r="W7" s="75" t="s">
        <v>31</v>
      </c>
      <c r="X7" s="75" t="s">
        <v>31</v>
      </c>
      <c r="Y7" s="75" t="s">
        <v>31</v>
      </c>
      <c r="Z7" s="75" t="s">
        <v>31</v>
      </c>
      <c r="AA7" s="75" t="s">
        <v>31</v>
      </c>
      <c r="AB7" s="75" t="s">
        <v>31</v>
      </c>
      <c r="AC7" s="75" t="s">
        <v>31</v>
      </c>
      <c r="AD7" s="75" t="s">
        <v>31</v>
      </c>
      <c r="AE7" s="75" t="s">
        <v>31</v>
      </c>
      <c r="AF7" s="75" t="s">
        <v>31</v>
      </c>
      <c r="AG7" s="75" t="s">
        <v>31</v>
      </c>
      <c r="AH7" s="39">
        <f>-1*'2b.FCosts'!C41</f>
        <v>-470</v>
      </c>
    </row>
    <row r="8" spans="1:34" x14ac:dyDescent="0.55000000000000004">
      <c r="B8" s="21" t="s">
        <v>2</v>
      </c>
      <c r="C8" s="42">
        <f>SUM(D8:AG8)</f>
        <v>9788766.3926635869</v>
      </c>
      <c r="D8" s="39">
        <f>'3.FBenefits'!C16*'1.Params_8.Sensitivity'!$D$25</f>
        <v>0</v>
      </c>
      <c r="E8" s="39">
        <f>'3.FBenefits'!D16*'1.Params_8.Sensitivity'!$D$25</f>
        <v>0</v>
      </c>
      <c r="F8" s="39">
        <f>'3.FBenefits'!E16*'1.Params_8.Sensitivity'!$D$25</f>
        <v>0</v>
      </c>
      <c r="G8" s="39">
        <f>'3.FBenefits'!F16*'1.Params_8.Sensitivity'!$D$25</f>
        <v>0</v>
      </c>
      <c r="H8" s="39">
        <f>'3.FBenefits'!G16*'1.Params_8.Sensitivity'!$D$25</f>
        <v>0</v>
      </c>
      <c r="I8" s="210">
        <f>'3.FBenefits'!H20*'1.Params_8.Sensitivity'!$D$25</f>
        <v>318043.23180000001</v>
      </c>
      <c r="J8" s="210">
        <f>'3.FBenefits'!I20*'1.Params_8.Sensitivity'!$D$25</f>
        <v>346667.12266200007</v>
      </c>
      <c r="K8" s="210">
        <f>'3.FBenefits'!J20*'1.Params_8.Sensitivity'!$D$25</f>
        <v>377867.16370158008</v>
      </c>
      <c r="L8" s="210">
        <f>'3.FBenefits'!K20*'1.Params_8.Sensitivity'!$D$25</f>
        <v>397554.03975</v>
      </c>
      <c r="M8" s="210">
        <f>'3.FBenefits'!L20*'1.Params_8.Sensitivity'!$D$25</f>
        <v>397554.03975</v>
      </c>
      <c r="N8" s="210">
        <f>'3.FBenefits'!M20*'1.Params_8.Sensitivity'!$D$25</f>
        <v>397554.03975</v>
      </c>
      <c r="O8" s="210">
        <f>'3.FBenefits'!N20*'1.Params_8.Sensitivity'!$D$25</f>
        <v>397554.03975</v>
      </c>
      <c r="P8" s="210">
        <f>'3.FBenefits'!O20*'1.Params_8.Sensitivity'!$D$25</f>
        <v>397554.03975</v>
      </c>
      <c r="Q8" s="210">
        <f>'3.FBenefits'!P20*'1.Params_8.Sensitivity'!$D$25</f>
        <v>397554.03975</v>
      </c>
      <c r="R8" s="210">
        <f>'3.FBenefits'!Q20*'1.Params_8.Sensitivity'!$D$25</f>
        <v>397554.03975</v>
      </c>
      <c r="S8" s="210">
        <f>'3.FBenefits'!R20*'1.Params_8.Sensitivity'!$D$25</f>
        <v>397554.03975</v>
      </c>
      <c r="T8" s="210">
        <f>'3.FBenefits'!S20*'1.Params_8.Sensitivity'!$D$25</f>
        <v>397554.03975</v>
      </c>
      <c r="U8" s="210">
        <f>'3.FBenefits'!T20*'1.Params_8.Sensitivity'!$D$25</f>
        <v>397554.03975</v>
      </c>
      <c r="V8" s="210">
        <f>'3.FBenefits'!U20*'1.Params_8.Sensitivity'!$D$25</f>
        <v>397554.03975</v>
      </c>
      <c r="W8" s="210">
        <f>'3.FBenefits'!V20*'1.Params_8.Sensitivity'!$D$25</f>
        <v>397554.03975</v>
      </c>
      <c r="X8" s="210">
        <f>'3.FBenefits'!W20*'1.Params_8.Sensitivity'!$D$25</f>
        <v>397554.03975</v>
      </c>
      <c r="Y8" s="210">
        <f>'3.FBenefits'!X20*'1.Params_8.Sensitivity'!$D$25</f>
        <v>397554.03975</v>
      </c>
      <c r="Z8" s="210">
        <f>'3.FBenefits'!Y20*'1.Params_8.Sensitivity'!$D$25</f>
        <v>397554.03975</v>
      </c>
      <c r="AA8" s="210">
        <f>'3.FBenefits'!Z20*'1.Params_8.Sensitivity'!$D$25</f>
        <v>397554.03975</v>
      </c>
      <c r="AB8" s="210">
        <f>'3.FBenefits'!AA20*'1.Params_8.Sensitivity'!$D$25</f>
        <v>397554.03975</v>
      </c>
      <c r="AC8" s="210">
        <f>'3.FBenefits'!AB20*'1.Params_8.Sensitivity'!$D$25</f>
        <v>397554.03975</v>
      </c>
      <c r="AD8" s="210">
        <f>'3.FBenefits'!AC20*'1.Params_8.Sensitivity'!$D$25</f>
        <v>397554.03975</v>
      </c>
      <c r="AE8" s="210">
        <f>'3.FBenefits'!AD20*'1.Params_8.Sensitivity'!$D$25</f>
        <v>397554.03975</v>
      </c>
      <c r="AF8" s="210">
        <f>'3.FBenefits'!AE20*'1.Params_8.Sensitivity'!$D$25</f>
        <v>397554.03975</v>
      </c>
      <c r="AG8" s="210">
        <f>'3.FBenefits'!AF20*'1.Params_8.Sensitivity'!$D$25</f>
        <v>397554.03975</v>
      </c>
      <c r="AH8" s="39"/>
    </row>
    <row r="9" spans="1:34" x14ac:dyDescent="0.55000000000000004">
      <c r="B9" s="22" t="s">
        <v>3</v>
      </c>
      <c r="C9" s="43">
        <f>SUM(D9:AG9)</f>
        <v>813101.948914757</v>
      </c>
      <c r="D9" s="44">
        <f>D8-D4</f>
        <v>-1229.9273015063013</v>
      </c>
      <c r="E9" s="44">
        <f t="shared" ref="E9:AF9" si="1">E8-E4</f>
        <v>-80625.888497837819</v>
      </c>
      <c r="F9" s="44">
        <f t="shared" si="1"/>
        <v>-89655.783613176449</v>
      </c>
      <c r="G9" s="44">
        <f t="shared" si="1"/>
        <v>-53814.946765414126</v>
      </c>
      <c r="H9" s="44">
        <f t="shared" si="1"/>
        <v>-1413.1343680886444</v>
      </c>
      <c r="I9" s="44">
        <f>I8-I4</f>
        <v>33769.843800000031</v>
      </c>
      <c r="J9" s="44">
        <f t="shared" si="1"/>
        <v>36809.129742000019</v>
      </c>
      <c r="K9" s="44">
        <f t="shared" si="1"/>
        <v>40121.951418780023</v>
      </c>
      <c r="L9" s="44">
        <f t="shared" si="1"/>
        <v>42212.30475000001</v>
      </c>
      <c r="M9" s="44">
        <f t="shared" si="1"/>
        <v>42212.30475000001</v>
      </c>
      <c r="N9" s="44">
        <f t="shared" si="1"/>
        <v>42212.30475000001</v>
      </c>
      <c r="O9" s="44">
        <f t="shared" si="1"/>
        <v>42212.30475000001</v>
      </c>
      <c r="P9" s="44">
        <f t="shared" si="1"/>
        <v>42212.30475000001</v>
      </c>
      <c r="Q9" s="44">
        <f t="shared" si="1"/>
        <v>42212.30475000001</v>
      </c>
      <c r="R9" s="44">
        <f t="shared" si="1"/>
        <v>42212.30475000001</v>
      </c>
      <c r="S9" s="44">
        <f t="shared" si="1"/>
        <v>42212.30475000001</v>
      </c>
      <c r="T9" s="44">
        <f t="shared" si="1"/>
        <v>42212.30475000001</v>
      </c>
      <c r="U9" s="44">
        <f t="shared" si="1"/>
        <v>42212.30475000001</v>
      </c>
      <c r="V9" s="44">
        <f t="shared" si="1"/>
        <v>42212.30475000001</v>
      </c>
      <c r="W9" s="44">
        <f t="shared" si="1"/>
        <v>42212.30475000001</v>
      </c>
      <c r="X9" s="44">
        <f t="shared" si="1"/>
        <v>42212.30475000001</v>
      </c>
      <c r="Y9" s="44">
        <f t="shared" si="1"/>
        <v>42212.30475000001</v>
      </c>
      <c r="Z9" s="44">
        <f t="shared" si="1"/>
        <v>42212.30475000001</v>
      </c>
      <c r="AA9" s="44">
        <f t="shared" si="1"/>
        <v>42212.30475000001</v>
      </c>
      <c r="AB9" s="44">
        <f t="shared" si="1"/>
        <v>42212.30475000001</v>
      </c>
      <c r="AC9" s="44">
        <f t="shared" si="1"/>
        <v>42212.30475000001</v>
      </c>
      <c r="AD9" s="44">
        <f t="shared" si="1"/>
        <v>42212.30475000001</v>
      </c>
      <c r="AE9" s="44">
        <f t="shared" si="1"/>
        <v>42212.30475000001</v>
      </c>
      <c r="AF9" s="44">
        <f t="shared" si="1"/>
        <v>42212.30475000001</v>
      </c>
      <c r="AG9" s="44">
        <f>AG8-AG4-AH7</f>
        <v>42682.30475000001</v>
      </c>
      <c r="AH9" s="44"/>
    </row>
    <row r="10" spans="1:34" x14ac:dyDescent="0.55000000000000004">
      <c r="B10" s="10"/>
      <c r="C10" s="39"/>
    </row>
    <row r="11" spans="1:34" x14ac:dyDescent="0.55000000000000004">
      <c r="B11" t="str">
        <f>"Financial Discount Rate ("&amp;TEXT('1.Params_8.Sensitivity'!D12,"0%")&amp;")"</f>
        <v>Financial Discount Rate (12%)</v>
      </c>
      <c r="C11" s="39" t="s">
        <v>164</v>
      </c>
      <c r="D11" s="2">
        <f>1/(1+'1.Params_8.Sensitivity'!$D$12)^D3</f>
        <v>0.89285714285714279</v>
      </c>
      <c r="E11" s="2">
        <f>1/(1+'1.Params_8.Sensitivity'!$D$12)^E3</f>
        <v>0.79719387755102034</v>
      </c>
      <c r="F11" s="2">
        <f>1/(1+'1.Params_8.Sensitivity'!$D$12)^F3</f>
        <v>0.71178024781341087</v>
      </c>
      <c r="G11" s="2">
        <f>1/(1+'1.Params_8.Sensitivity'!$D$12)^G3</f>
        <v>0.63551807840483121</v>
      </c>
      <c r="H11" s="2">
        <f>1/(1+'1.Params_8.Sensitivity'!$D$12)^H3</f>
        <v>0.56742685571859919</v>
      </c>
      <c r="I11" s="2">
        <f>1/(1+'1.Params_8.Sensitivity'!$D$12)^I3</f>
        <v>0.50663112117732068</v>
      </c>
      <c r="J11" s="2">
        <f>1/(1+'1.Params_8.Sensitivity'!$D$12)^J3</f>
        <v>0.45234921533689343</v>
      </c>
      <c r="K11" s="2">
        <f>1/(1+'1.Params_8.Sensitivity'!$D$12)^K3</f>
        <v>0.4038832279793691</v>
      </c>
      <c r="L11" s="2">
        <f>1/(1+'1.Params_8.Sensitivity'!$D$12)^L3</f>
        <v>0.36061002498157957</v>
      </c>
      <c r="M11" s="2">
        <f>1/(1+'1.Params_8.Sensitivity'!$D$12)^M3</f>
        <v>0.32197323659069599</v>
      </c>
      <c r="N11" s="2">
        <f>1/(1+'1.Params_8.Sensitivity'!$D$12)^N3</f>
        <v>0.28747610409883567</v>
      </c>
      <c r="O11" s="2">
        <f>1/(1+'1.Params_8.Sensitivity'!$D$12)^O3</f>
        <v>0.25667509294538904</v>
      </c>
      <c r="P11" s="2">
        <f>1/(1+'1.Params_8.Sensitivity'!$D$12)^P3</f>
        <v>0.22917419012981158</v>
      </c>
      <c r="Q11" s="2">
        <f>1/(1+'1.Params_8.Sensitivity'!$D$12)^Q3</f>
        <v>0.20461981261590317</v>
      </c>
      <c r="R11" s="2">
        <f>1/(1+'1.Params_8.Sensitivity'!$D$12)^R3</f>
        <v>0.18269626126419927</v>
      </c>
      <c r="S11" s="2">
        <f>1/(1+'1.Params_8.Sensitivity'!$D$12)^S3</f>
        <v>0.16312166184303503</v>
      </c>
      <c r="T11" s="2">
        <f>1/(1+'1.Params_8.Sensitivity'!$D$12)^T3</f>
        <v>0.14564434093128129</v>
      </c>
      <c r="U11" s="2">
        <f>1/(1+'1.Params_8.Sensitivity'!$D$12)^U3</f>
        <v>0.13003959011721541</v>
      </c>
      <c r="V11" s="2">
        <f>1/(1+'1.Params_8.Sensitivity'!$D$12)^V3</f>
        <v>0.1161067768903709</v>
      </c>
      <c r="W11" s="2">
        <f>1/(1+'1.Params_8.Sensitivity'!$D$12)^W3</f>
        <v>0.1036667650806883</v>
      </c>
      <c r="X11" s="2">
        <f>1/(1+'1.Params_8.Sensitivity'!$D$12)^X3</f>
        <v>9.2559611679185971E-2</v>
      </c>
      <c r="Y11" s="2">
        <f>1/(1+'1.Params_8.Sensitivity'!$D$12)^Y3</f>
        <v>8.2642510427844609E-2</v>
      </c>
      <c r="Z11" s="2">
        <f>1/(1+'1.Params_8.Sensitivity'!$D$12)^Z3</f>
        <v>7.3787955739146982E-2</v>
      </c>
      <c r="AA11" s="2">
        <f>1/(1+'1.Params_8.Sensitivity'!$D$12)^AA3</f>
        <v>6.5882103338524081E-2</v>
      </c>
      <c r="AB11" s="2">
        <f>1/(1+'1.Params_8.Sensitivity'!$D$12)^AB3</f>
        <v>5.8823306552253637E-2</v>
      </c>
      <c r="AC11" s="2">
        <f>1/(1+'1.Params_8.Sensitivity'!$D$12)^AC3</f>
        <v>5.2520809421655032E-2</v>
      </c>
      <c r="AD11" s="2">
        <f>1/(1+'1.Params_8.Sensitivity'!$D$12)^AD3</f>
        <v>4.6893579840763415E-2</v>
      </c>
      <c r="AE11" s="2">
        <f>1/(1+'1.Params_8.Sensitivity'!$D$12)^AE3</f>
        <v>4.1869267714967337E-2</v>
      </c>
      <c r="AF11" s="2">
        <f>1/(1+'1.Params_8.Sensitivity'!$D$12)^AF3</f>
        <v>3.7383274745506546E-2</v>
      </c>
      <c r="AG11" s="2">
        <f>1/(1+'1.Params_8.Sensitivity'!$D$12)^AG3</f>
        <v>3.3377923879916553E-2</v>
      </c>
      <c r="AH11" s="2"/>
    </row>
    <row r="13" spans="1:34" x14ac:dyDescent="0.55000000000000004">
      <c r="B13" s="397" t="s">
        <v>170</v>
      </c>
      <c r="C13" s="397" t="s">
        <v>24</v>
      </c>
      <c r="D13" s="402" t="s">
        <v>0</v>
      </c>
      <c r="E13" s="402"/>
      <c r="F13" s="402"/>
      <c r="G13" s="402"/>
      <c r="H13" s="402"/>
      <c r="I13" s="402"/>
      <c r="J13" s="402"/>
      <c r="K13" s="402"/>
      <c r="L13" s="402"/>
      <c r="M13" s="402"/>
      <c r="N13" s="402"/>
      <c r="O13" s="402"/>
      <c r="P13" s="402"/>
      <c r="Q13" s="402"/>
      <c r="R13" s="402"/>
      <c r="S13" s="402"/>
      <c r="T13" s="402"/>
      <c r="U13" s="402"/>
      <c r="V13" s="402"/>
      <c r="W13" s="402"/>
      <c r="X13" s="402"/>
      <c r="Y13" s="402"/>
      <c r="Z13" s="402"/>
      <c r="AA13" s="402"/>
      <c r="AB13" s="402"/>
      <c r="AC13" s="402"/>
      <c r="AD13" s="402"/>
      <c r="AE13" s="402"/>
      <c r="AF13" s="402"/>
      <c r="AG13" s="402"/>
      <c r="AH13" s="397" t="s">
        <v>30</v>
      </c>
    </row>
    <row r="14" spans="1:34" x14ac:dyDescent="0.55000000000000004">
      <c r="B14" s="398"/>
      <c r="C14" s="398"/>
      <c r="D14" s="11">
        <v>1</v>
      </c>
      <c r="E14" s="11">
        <v>2</v>
      </c>
      <c r="F14" s="11">
        <v>3</v>
      </c>
      <c r="G14" s="11">
        <v>4</v>
      </c>
      <c r="H14" s="11">
        <v>5</v>
      </c>
      <c r="I14" s="85">
        <v>6</v>
      </c>
      <c r="J14" s="85">
        <v>7</v>
      </c>
      <c r="K14" s="85">
        <v>8</v>
      </c>
      <c r="L14" s="85">
        <v>9</v>
      </c>
      <c r="M14" s="85">
        <v>10</v>
      </c>
      <c r="N14" s="85">
        <v>11</v>
      </c>
      <c r="O14" s="85">
        <v>12</v>
      </c>
      <c r="P14" s="85">
        <v>13</v>
      </c>
      <c r="Q14" s="85">
        <v>14</v>
      </c>
      <c r="R14" s="85">
        <v>15</v>
      </c>
      <c r="S14" s="85">
        <v>16</v>
      </c>
      <c r="T14" s="85">
        <v>17</v>
      </c>
      <c r="U14" s="85">
        <v>18</v>
      </c>
      <c r="V14" s="85">
        <v>19</v>
      </c>
      <c r="W14" s="85">
        <v>20</v>
      </c>
      <c r="X14" s="85">
        <v>21</v>
      </c>
      <c r="Y14" s="85">
        <v>22</v>
      </c>
      <c r="Z14" s="85">
        <v>23</v>
      </c>
      <c r="AA14" s="85">
        <v>24</v>
      </c>
      <c r="AB14" s="85">
        <v>25</v>
      </c>
      <c r="AC14" s="85">
        <v>26</v>
      </c>
      <c r="AD14" s="85">
        <v>27</v>
      </c>
      <c r="AE14" s="85">
        <v>28</v>
      </c>
      <c r="AF14" s="85">
        <v>29</v>
      </c>
      <c r="AG14" s="85">
        <v>30</v>
      </c>
      <c r="AH14" s="398"/>
    </row>
    <row r="15" spans="1:34" x14ac:dyDescent="0.55000000000000004">
      <c r="B15" s="19" t="s">
        <v>1</v>
      </c>
      <c r="C15" s="40">
        <f>SUM(D15:AG15)+C18</f>
        <v>1681903.0692913875</v>
      </c>
      <c r="D15" s="41">
        <f>D4*D$11</f>
        <v>1098.1493763449118</v>
      </c>
      <c r="E15" s="41">
        <f>E4*E$11</f>
        <v>64274.464682587539</v>
      </c>
      <c r="F15" s="41">
        <f t="shared" ref="F15:AG15" si="2">F4*F$11</f>
        <v>63815.215878092276</v>
      </c>
      <c r="G15" s="41">
        <f t="shared" si="2"/>
        <v>34200.371557814273</v>
      </c>
      <c r="H15" s="41">
        <f>H4*H$11</f>
        <v>801.85039119242902</v>
      </c>
      <c r="I15" s="41">
        <f>I4*I$11</f>
        <v>144021.74528331548</v>
      </c>
      <c r="J15" s="41">
        <f t="shared" si="2"/>
        <v>140164.01996322669</v>
      </c>
      <c r="K15" s="41">
        <f t="shared" si="2"/>
        <v>136409.62657135454</v>
      </c>
      <c r="L15" s="41">
        <f t="shared" si="2"/>
        <v>128139.79193534782</v>
      </c>
      <c r="M15" s="41">
        <f t="shared" si="2"/>
        <v>114410.52851370339</v>
      </c>
      <c r="N15" s="41">
        <f t="shared" si="2"/>
        <v>102152.25760152088</v>
      </c>
      <c r="O15" s="41">
        <f t="shared" si="2"/>
        <v>91207.372858500792</v>
      </c>
      <c r="P15" s="41">
        <f t="shared" si="2"/>
        <v>81435.154337947111</v>
      </c>
      <c r="Q15" s="41">
        <f t="shared" si="2"/>
        <v>72709.95923030992</v>
      </c>
      <c r="R15" s="41">
        <f t="shared" si="2"/>
        <v>64919.606455633861</v>
      </c>
      <c r="S15" s="41">
        <f t="shared" si="2"/>
        <v>57963.934335387363</v>
      </c>
      <c r="T15" s="41">
        <f t="shared" si="2"/>
        <v>51753.512799453005</v>
      </c>
      <c r="U15" s="41">
        <f t="shared" si="2"/>
        <v>46208.493570940176</v>
      </c>
      <c r="V15" s="41">
        <f t="shared" si="2"/>
        <v>41257.583545482295</v>
      </c>
      <c r="W15" s="41">
        <f t="shared" si="2"/>
        <v>36837.128165609196</v>
      </c>
      <c r="X15" s="41">
        <f t="shared" si="2"/>
        <v>32890.293005008207</v>
      </c>
      <c r="Y15" s="41">
        <f t="shared" si="2"/>
        <v>29366.333040185895</v>
      </c>
      <c r="Z15" s="41">
        <f t="shared" si="2"/>
        <v>26219.940214451693</v>
      </c>
      <c r="AA15" s="41">
        <f t="shared" si="2"/>
        <v>23410.66090576044</v>
      </c>
      <c r="AB15" s="41">
        <f t="shared" si="2"/>
        <v>20902.375808714674</v>
      </c>
      <c r="AC15" s="41">
        <f t="shared" si="2"/>
        <v>18662.835543495246</v>
      </c>
      <c r="AD15" s="41">
        <f t="shared" si="2"/>
        <v>16663.246020977895</v>
      </c>
      <c r="AE15" s="41">
        <f t="shared" si="2"/>
        <v>14877.898233015978</v>
      </c>
      <c r="AF15" s="41">
        <f t="shared" si="2"/>
        <v>13283.837708049979</v>
      </c>
      <c r="AG15" s="41">
        <f t="shared" si="2"/>
        <v>11860.569382187479</v>
      </c>
      <c r="AH15" s="41"/>
    </row>
    <row r="16" spans="1:34" x14ac:dyDescent="0.55000000000000004">
      <c r="B16" s="20" t="s">
        <v>182</v>
      </c>
      <c r="C16" s="39">
        <f>SUM(D16:AG16)</f>
        <v>164190.0518860314</v>
      </c>
      <c r="D16" s="39">
        <f t="shared" ref="D16:H16" si="3">D5*D$11</f>
        <v>1098.1493763449118</v>
      </c>
      <c r="E16" s="39">
        <f t="shared" si="3"/>
        <v>64274.464682587539</v>
      </c>
      <c r="F16" s="39">
        <f t="shared" si="3"/>
        <v>63815.215878092276</v>
      </c>
      <c r="G16" s="39">
        <f t="shared" si="3"/>
        <v>34200.371557814273</v>
      </c>
      <c r="H16" s="39">
        <f t="shared" si="3"/>
        <v>801.85039119242902</v>
      </c>
      <c r="I16" s="75" t="s">
        <v>31</v>
      </c>
      <c r="J16" s="75" t="s">
        <v>31</v>
      </c>
      <c r="K16" s="75" t="s">
        <v>31</v>
      </c>
      <c r="L16" s="75" t="s">
        <v>31</v>
      </c>
      <c r="M16" s="75" t="s">
        <v>31</v>
      </c>
      <c r="N16" s="75" t="s">
        <v>31</v>
      </c>
      <c r="O16" s="75" t="s">
        <v>31</v>
      </c>
      <c r="P16" s="75" t="s">
        <v>31</v>
      </c>
      <c r="Q16" s="75" t="s">
        <v>31</v>
      </c>
      <c r="R16" s="75" t="s">
        <v>31</v>
      </c>
      <c r="S16" s="75" t="s">
        <v>31</v>
      </c>
      <c r="T16" s="75" t="s">
        <v>31</v>
      </c>
      <c r="U16" s="75" t="s">
        <v>31</v>
      </c>
      <c r="V16" s="75" t="s">
        <v>31</v>
      </c>
      <c r="W16" s="75" t="s">
        <v>31</v>
      </c>
      <c r="X16" s="75" t="s">
        <v>31</v>
      </c>
      <c r="Y16" s="75" t="s">
        <v>31</v>
      </c>
      <c r="Z16" s="75" t="s">
        <v>31</v>
      </c>
      <c r="AA16" s="75" t="s">
        <v>31</v>
      </c>
      <c r="AB16" s="75" t="s">
        <v>31</v>
      </c>
      <c r="AC16" s="75" t="s">
        <v>31</v>
      </c>
      <c r="AD16" s="75" t="s">
        <v>31</v>
      </c>
      <c r="AE16" s="75" t="s">
        <v>31</v>
      </c>
      <c r="AF16" s="75" t="s">
        <v>31</v>
      </c>
      <c r="AG16" s="75" t="s">
        <v>31</v>
      </c>
      <c r="AH16" s="39"/>
    </row>
    <row r="17" spans="2:34" x14ac:dyDescent="0.55000000000000004">
      <c r="B17" s="20" t="s">
        <v>183</v>
      </c>
      <c r="C17" s="39">
        <f>SUM(D17:AG17)</f>
        <v>1517728.7050295798</v>
      </c>
      <c r="D17" s="39">
        <f t="shared" ref="D17:AG17" si="4">D6*D$11</f>
        <v>0</v>
      </c>
      <c r="E17" s="39">
        <f t="shared" si="4"/>
        <v>0</v>
      </c>
      <c r="F17" s="39">
        <f t="shared" si="4"/>
        <v>0</v>
      </c>
      <c r="G17" s="39">
        <f t="shared" si="4"/>
        <v>0</v>
      </c>
      <c r="H17" s="39">
        <f t="shared" si="4"/>
        <v>0</v>
      </c>
      <c r="I17" s="39">
        <f t="shared" si="4"/>
        <v>144021.74528331548</v>
      </c>
      <c r="J17" s="39">
        <f t="shared" si="4"/>
        <v>140164.01996322669</v>
      </c>
      <c r="K17" s="39">
        <f t="shared" si="4"/>
        <v>136409.62657135454</v>
      </c>
      <c r="L17" s="39">
        <f t="shared" si="4"/>
        <v>128139.79193534782</v>
      </c>
      <c r="M17" s="39">
        <f t="shared" si="4"/>
        <v>114410.52851370339</v>
      </c>
      <c r="N17" s="39">
        <f t="shared" si="4"/>
        <v>102152.25760152088</v>
      </c>
      <c r="O17" s="39">
        <f t="shared" si="4"/>
        <v>91207.372858500792</v>
      </c>
      <c r="P17" s="39">
        <f t="shared" si="4"/>
        <v>81435.154337947111</v>
      </c>
      <c r="Q17" s="39">
        <f t="shared" si="4"/>
        <v>72709.95923030992</v>
      </c>
      <c r="R17" s="39">
        <f t="shared" si="4"/>
        <v>64919.606455633861</v>
      </c>
      <c r="S17" s="39">
        <f t="shared" si="4"/>
        <v>57963.934335387363</v>
      </c>
      <c r="T17" s="39">
        <f t="shared" si="4"/>
        <v>51753.512799453005</v>
      </c>
      <c r="U17" s="39">
        <f t="shared" si="4"/>
        <v>46208.493570940176</v>
      </c>
      <c r="V17" s="39">
        <f t="shared" si="4"/>
        <v>41257.583545482295</v>
      </c>
      <c r="W17" s="39">
        <f t="shared" si="4"/>
        <v>36837.128165609196</v>
      </c>
      <c r="X17" s="39">
        <f t="shared" si="4"/>
        <v>32890.293005008207</v>
      </c>
      <c r="Y17" s="39">
        <f t="shared" si="4"/>
        <v>29366.333040185895</v>
      </c>
      <c r="Z17" s="39">
        <f t="shared" si="4"/>
        <v>26219.940214451693</v>
      </c>
      <c r="AA17" s="39">
        <f t="shared" si="4"/>
        <v>23410.66090576044</v>
      </c>
      <c r="AB17" s="39">
        <f t="shared" si="4"/>
        <v>20902.375808714674</v>
      </c>
      <c r="AC17" s="39">
        <f t="shared" si="4"/>
        <v>18662.835543495246</v>
      </c>
      <c r="AD17" s="39">
        <f t="shared" si="4"/>
        <v>16663.246020977895</v>
      </c>
      <c r="AE17" s="39">
        <f t="shared" si="4"/>
        <v>14877.898233015978</v>
      </c>
      <c r="AF17" s="39">
        <f t="shared" si="4"/>
        <v>13283.837708049979</v>
      </c>
      <c r="AG17" s="39">
        <f t="shared" si="4"/>
        <v>11860.569382187479</v>
      </c>
      <c r="AH17" s="39"/>
    </row>
    <row r="18" spans="2:34" x14ac:dyDescent="0.55000000000000004">
      <c r="B18" s="20" t="s">
        <v>184</v>
      </c>
      <c r="C18" s="39">
        <f>AH18</f>
        <v>-15.68762422356078</v>
      </c>
      <c r="D18" s="75" t="s">
        <v>31</v>
      </c>
      <c r="E18" s="75" t="s">
        <v>31</v>
      </c>
      <c r="F18" s="75" t="s">
        <v>31</v>
      </c>
      <c r="G18" s="75" t="s">
        <v>31</v>
      </c>
      <c r="H18" s="75" t="s">
        <v>31</v>
      </c>
      <c r="I18" s="75" t="s">
        <v>31</v>
      </c>
      <c r="J18" s="75" t="s">
        <v>31</v>
      </c>
      <c r="K18" s="75" t="s">
        <v>31</v>
      </c>
      <c r="L18" s="75" t="s">
        <v>31</v>
      </c>
      <c r="M18" s="75" t="s">
        <v>31</v>
      </c>
      <c r="N18" s="75" t="s">
        <v>31</v>
      </c>
      <c r="O18" s="75" t="s">
        <v>31</v>
      </c>
      <c r="P18" s="75" t="s">
        <v>31</v>
      </c>
      <c r="Q18" s="75" t="s">
        <v>31</v>
      </c>
      <c r="R18" s="75" t="s">
        <v>31</v>
      </c>
      <c r="S18" s="75" t="s">
        <v>31</v>
      </c>
      <c r="T18" s="75" t="s">
        <v>31</v>
      </c>
      <c r="U18" s="75" t="s">
        <v>31</v>
      </c>
      <c r="V18" s="75" t="s">
        <v>31</v>
      </c>
      <c r="W18" s="75" t="s">
        <v>31</v>
      </c>
      <c r="X18" s="75" t="s">
        <v>31</v>
      </c>
      <c r="Y18" s="75" t="s">
        <v>31</v>
      </c>
      <c r="Z18" s="75" t="s">
        <v>31</v>
      </c>
      <c r="AA18" s="75" t="s">
        <v>31</v>
      </c>
      <c r="AB18" s="75" t="s">
        <v>31</v>
      </c>
      <c r="AC18" s="75" t="s">
        <v>31</v>
      </c>
      <c r="AD18" s="75" t="s">
        <v>31</v>
      </c>
      <c r="AE18" s="75" t="s">
        <v>31</v>
      </c>
      <c r="AF18" s="75" t="s">
        <v>31</v>
      </c>
      <c r="AG18" s="75" t="s">
        <v>31</v>
      </c>
      <c r="AH18" s="39">
        <f>AH7*AG11</f>
        <v>-15.68762422356078</v>
      </c>
    </row>
    <row r="19" spans="2:34" x14ac:dyDescent="0.55000000000000004">
      <c r="B19" s="21" t="s">
        <v>2</v>
      </c>
      <c r="C19" s="42">
        <f>SUM(D19:AG19)</f>
        <v>1698025.0797983122</v>
      </c>
      <c r="D19" s="39">
        <f>D8*D$11</f>
        <v>0</v>
      </c>
      <c r="E19" s="39">
        <f t="shared" ref="E19:AF19" si="5">E8*E$11</f>
        <v>0</v>
      </c>
      <c r="F19" s="39">
        <f t="shared" si="5"/>
        <v>0</v>
      </c>
      <c r="G19" s="39">
        <f t="shared" si="5"/>
        <v>0</v>
      </c>
      <c r="H19" s="39">
        <f t="shared" si="5"/>
        <v>0</v>
      </c>
      <c r="I19" s="39">
        <f>I8*I$11</f>
        <v>161130.5991096925</v>
      </c>
      <c r="J19" s="39">
        <f t="shared" si="5"/>
        <v>156814.60091925433</v>
      </c>
      <c r="K19" s="39">
        <f t="shared" si="5"/>
        <v>152614.20982320284</v>
      </c>
      <c r="L19" s="39">
        <f t="shared" si="5"/>
        <v>143361.97220577538</v>
      </c>
      <c r="M19" s="39">
        <f t="shared" si="5"/>
        <v>128001.7608980137</v>
      </c>
      <c r="N19" s="39">
        <f t="shared" si="5"/>
        <v>114287.28651608365</v>
      </c>
      <c r="O19" s="39">
        <f t="shared" si="5"/>
        <v>102042.22010364613</v>
      </c>
      <c r="P19" s="39">
        <f t="shared" si="5"/>
        <v>91109.125092541173</v>
      </c>
      <c r="Q19" s="39">
        <f t="shared" si="5"/>
        <v>81347.433118340326</v>
      </c>
      <c r="R19" s="39">
        <f t="shared" si="5"/>
        <v>72631.636712803869</v>
      </c>
      <c r="S19" s="39">
        <f t="shared" si="5"/>
        <v>64849.67563643201</v>
      </c>
      <c r="T19" s="39">
        <f t="shared" si="5"/>
        <v>57901.49610395715</v>
      </c>
      <c r="U19" s="39">
        <f t="shared" si="5"/>
        <v>51697.76437853316</v>
      </c>
      <c r="V19" s="39">
        <f t="shared" si="5"/>
        <v>46158.71819511889</v>
      </c>
      <c r="W19" s="39">
        <f t="shared" si="5"/>
        <v>41213.141245641869</v>
      </c>
      <c r="X19" s="39">
        <f t="shared" si="5"/>
        <v>36797.447540751666</v>
      </c>
      <c r="Y19" s="39">
        <f t="shared" si="5"/>
        <v>32854.863875671123</v>
      </c>
      <c r="Z19" s="39">
        <f t="shared" si="5"/>
        <v>29334.69988899208</v>
      </c>
      <c r="AA19" s="39">
        <f t="shared" si="5"/>
        <v>26191.696329457209</v>
      </c>
      <c r="AB19" s="39">
        <f t="shared" si="5"/>
        <v>23385.443151301079</v>
      </c>
      <c r="AC19" s="39">
        <f t="shared" si="5"/>
        <v>20879.85995651882</v>
      </c>
      <c r="AD19" s="39">
        <f t="shared" si="5"/>
        <v>18642.732104034658</v>
      </c>
      <c r="AE19" s="39">
        <f t="shared" si="5"/>
        <v>16645.296521459517</v>
      </c>
      <c r="AF19" s="39">
        <f t="shared" si="5"/>
        <v>14861.87189416028</v>
      </c>
      <c r="AG19" s="39">
        <f>AG8*AG$11</f>
        <v>13269.528476928819</v>
      </c>
      <c r="AH19" s="39"/>
    </row>
    <row r="20" spans="2:34" x14ac:dyDescent="0.55000000000000004">
      <c r="B20" s="22" t="s">
        <v>3</v>
      </c>
      <c r="C20" s="43">
        <f>SUM(D20:AG20)</f>
        <v>16122.010506924335</v>
      </c>
      <c r="D20" s="44">
        <f>D9*D$11</f>
        <v>-1098.1493763449118</v>
      </c>
      <c r="E20" s="44">
        <f t="shared" ref="E20:AF20" si="6">E9*E$11</f>
        <v>-64274.464682587539</v>
      </c>
      <c r="F20" s="44">
        <f t="shared" si="6"/>
        <v>-63815.215878092276</v>
      </c>
      <c r="G20" s="44">
        <f t="shared" si="6"/>
        <v>-34200.371557814273</v>
      </c>
      <c r="H20" s="44">
        <f t="shared" si="6"/>
        <v>-801.85039119242902</v>
      </c>
      <c r="I20" s="44">
        <f t="shared" si="6"/>
        <v>17108.853826377006</v>
      </c>
      <c r="J20" s="44">
        <f t="shared" si="6"/>
        <v>16650.580956027614</v>
      </c>
      <c r="K20" s="44">
        <f t="shared" si="6"/>
        <v>16204.583251848304</v>
      </c>
      <c r="L20" s="44">
        <f t="shared" si="6"/>
        <v>15222.180270427554</v>
      </c>
      <c r="M20" s="44">
        <f t="shared" si="6"/>
        <v>13591.232384310313</v>
      </c>
      <c r="N20" s="44">
        <f t="shared" si="6"/>
        <v>12135.028914562778</v>
      </c>
      <c r="O20" s="44">
        <f t="shared" si="6"/>
        <v>10834.84724514534</v>
      </c>
      <c r="P20" s="44">
        <f t="shared" si="6"/>
        <v>9673.970754594051</v>
      </c>
      <c r="Q20" s="44">
        <f t="shared" si="6"/>
        <v>8637.4738880304012</v>
      </c>
      <c r="R20" s="44">
        <f t="shared" si="6"/>
        <v>7712.0302571700022</v>
      </c>
      <c r="S20" s="44">
        <f t="shared" si="6"/>
        <v>6885.7413010446435</v>
      </c>
      <c r="T20" s="44">
        <f t="shared" si="6"/>
        <v>6147.983304504146</v>
      </c>
      <c r="U20" s="44">
        <f t="shared" si="6"/>
        <v>5489.2708075929868</v>
      </c>
      <c r="V20" s="44">
        <f t="shared" si="6"/>
        <v>4901.134649636595</v>
      </c>
      <c r="W20" s="44">
        <f t="shared" si="6"/>
        <v>4376.0130800326742</v>
      </c>
      <c r="X20" s="44">
        <f t="shared" si="6"/>
        <v>3907.1545357434584</v>
      </c>
      <c r="Y20" s="44">
        <f t="shared" si="6"/>
        <v>3488.5308354852305</v>
      </c>
      <c r="Z20" s="44">
        <f t="shared" si="6"/>
        <v>3114.7596745403848</v>
      </c>
      <c r="AA20" s="44">
        <f t="shared" si="6"/>
        <v>2781.0354236967714</v>
      </c>
      <c r="AB20" s="44">
        <f t="shared" si="6"/>
        <v>2483.0673425864029</v>
      </c>
      <c r="AC20" s="44">
        <f t="shared" si="6"/>
        <v>2217.0244130235742</v>
      </c>
      <c r="AD20" s="44">
        <f t="shared" si="6"/>
        <v>1979.4860830567623</v>
      </c>
      <c r="AE20" s="44">
        <f t="shared" si="6"/>
        <v>1767.3982884435377</v>
      </c>
      <c r="AF20" s="44">
        <f t="shared" si="6"/>
        <v>1578.0341861103013</v>
      </c>
      <c r="AG20" s="44">
        <f>AG9*AG$11</f>
        <v>1424.6467189649011</v>
      </c>
      <c r="AH20" s="44"/>
    </row>
    <row r="22" spans="2:34" ht="20" x14ac:dyDescent="0.6">
      <c r="B22" s="109" t="s">
        <v>19</v>
      </c>
      <c r="C22" s="110">
        <f>NPV('1.Params_8.Sensitivity'!D12,'4a.FAnalysis'!D9:AG9)</f>
        <v>16122.010506924267</v>
      </c>
      <c r="D22" s="140" t="s">
        <v>114</v>
      </c>
      <c r="E22" s="39">
        <f>C19-C15</f>
        <v>16122.010506924707</v>
      </c>
    </row>
    <row r="23" spans="2:34" ht="20" x14ac:dyDescent="0.6">
      <c r="B23" s="109" t="s">
        <v>20</v>
      </c>
      <c r="C23" s="112">
        <f>NPV('1.Params_8.Sensitivity'!D12,'4a.FAnalysis'!D8:AG8)/NPV('1.Params_8.Sensitivity'!D12,'4a.FAnalysis'!D4:AF4, (AG4+AH7))</f>
        <v>1.0095855764825474</v>
      </c>
      <c r="E23" s="195">
        <f>C19/C15</f>
        <v>1.0095855764825479</v>
      </c>
      <c r="G23" s="194"/>
    </row>
    <row r="24" spans="2:34" ht="20" x14ac:dyDescent="0.6">
      <c r="B24" s="109" t="s">
        <v>18</v>
      </c>
      <c r="C24" s="111">
        <f>IFERROR(IRR(D9:AG9), "        n/a")</f>
        <v>0.13047876395441471</v>
      </c>
    </row>
    <row r="26" spans="2:34" x14ac:dyDescent="0.55000000000000004">
      <c r="D26" s="403"/>
      <c r="E26" s="403"/>
      <c r="F26" s="403"/>
      <c r="G26" s="403"/>
      <c r="H26" s="403"/>
      <c r="I26" s="403"/>
    </row>
    <row r="27" spans="2:34" x14ac:dyDescent="0.55000000000000004">
      <c r="B27" s="141"/>
      <c r="C27" s="141"/>
      <c r="D27" s="141"/>
      <c r="E27" s="141"/>
      <c r="F27" s="141"/>
      <c r="G27" s="141"/>
      <c r="H27" s="141"/>
      <c r="I27" s="141"/>
    </row>
    <row r="28" spans="2:34" x14ac:dyDescent="0.55000000000000004">
      <c r="C28" s="142"/>
      <c r="D28" s="39"/>
      <c r="E28" s="129"/>
      <c r="F28" s="80"/>
      <c r="G28" s="39"/>
      <c r="H28" s="129"/>
      <c r="I28" s="80"/>
      <c r="J28" s="142"/>
    </row>
    <row r="29" spans="2:34" x14ac:dyDescent="0.55000000000000004">
      <c r="C29" s="142"/>
    </row>
    <row r="30" spans="2:34" x14ac:dyDescent="0.55000000000000004">
      <c r="C30" s="142"/>
    </row>
    <row r="31" spans="2:34" x14ac:dyDescent="0.55000000000000004">
      <c r="C31" s="142"/>
    </row>
    <row r="32" spans="2:34" x14ac:dyDescent="0.55000000000000004">
      <c r="C32" s="142"/>
    </row>
    <row r="33" spans="3:3" x14ac:dyDescent="0.55000000000000004">
      <c r="C33" s="142"/>
    </row>
  </sheetData>
  <sheetProtection algorithmName="SHA-512" hashValue="7JoJJzFuBB5r6bg3/WIHyuwV1ScrVPWR1joMmwLGDzG8t2qcx64iHNAg9LKOOBStqsYfEX8cIhlgjMKHkUWpSw==" saltValue="V1lh1tT0Mh7Isaq0PrLVrg==" spinCount="100000" sheet="1" objects="1" scenarios="1" autoFilter="0"/>
  <mergeCells count="10">
    <mergeCell ref="D26:F26"/>
    <mergeCell ref="G26:I26"/>
    <mergeCell ref="AH2:AH3"/>
    <mergeCell ref="AH13:AH14"/>
    <mergeCell ref="D2:AG2"/>
    <mergeCell ref="C2:C3"/>
    <mergeCell ref="B2:B3"/>
    <mergeCell ref="B13:B14"/>
    <mergeCell ref="C13:C14"/>
    <mergeCell ref="D13:AG13"/>
  </mergeCells>
  <phoneticPr fontId="4"/>
  <pageMargins left="0.7" right="0.7" top="0.75" bottom="0.75"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83F6D6-F5C3-48FF-BA22-0C0072FF05F5}">
  <sheetPr codeName="Sheet7">
    <tabColor theme="4" tint="0.59999389629810485"/>
  </sheetPr>
  <dimension ref="A1:T39"/>
  <sheetViews>
    <sheetView zoomScale="70" zoomScaleNormal="70" workbookViewId="0">
      <pane xSplit="1" ySplit="1" topLeftCell="B2" activePane="bottomRight" state="frozen"/>
      <selection activeCell="B21" sqref="B21"/>
      <selection pane="topRight" activeCell="B21" sqref="B21"/>
      <selection pane="bottomLeft" activeCell="B21" sqref="B21"/>
      <selection pane="bottomRight" activeCell="B21" sqref="B21"/>
    </sheetView>
  </sheetViews>
  <sheetFormatPr defaultRowHeight="18" x14ac:dyDescent="0.55000000000000004"/>
  <cols>
    <col min="1" max="1" width="2.58203125" customWidth="1"/>
    <col min="2" max="2" width="6.58203125" customWidth="1"/>
    <col min="3" max="3" width="4.58203125" customWidth="1"/>
    <col min="4" max="9" width="12.6640625" customWidth="1"/>
    <col min="10" max="10" width="1.4140625" customWidth="1"/>
    <col min="11" max="11" width="12.6640625" customWidth="1"/>
    <col min="12" max="12" width="1.4140625" customWidth="1"/>
    <col min="13" max="13" width="6.4140625" customWidth="1"/>
    <col min="14" max="14" width="4.4140625" customWidth="1"/>
    <col min="15" max="20" width="12.6640625" customWidth="1"/>
  </cols>
  <sheetData>
    <row r="1" spans="1:20" s="5" customFormat="1" ht="20" x14ac:dyDescent="0.6">
      <c r="A1" s="5" t="str">
        <f>"Cash Flows of Financial Costs and Benefits ("&amp;MID('0.Contents'!A1,20,(LEN('0.Contents'!A1)-20))&amp;")----Vertical format"</f>
        <v>Cash Flows of Financial Costs and Benefits (Power Distribution)----Vertical format</v>
      </c>
    </row>
    <row r="2" spans="1:20" x14ac:dyDescent="0.55000000000000004">
      <c r="B2" s="402" t="str">
        <f>'4a.FAnalysis'!B2</f>
        <v>At Constant Prices/Before Discounting (lakh)</v>
      </c>
      <c r="C2" s="402"/>
      <c r="D2" s="402"/>
      <c r="E2" s="402"/>
      <c r="F2" s="402"/>
      <c r="G2" s="402"/>
      <c r="H2" s="402"/>
      <c r="I2" s="402"/>
      <c r="J2" s="248"/>
      <c r="K2" s="248"/>
      <c r="L2" s="248"/>
      <c r="M2" s="402" t="str">
        <f>'4a.FAnalysis'!B13</f>
        <v>Present Values (lakh)</v>
      </c>
      <c r="N2" s="402"/>
      <c r="O2" s="402"/>
      <c r="P2" s="402"/>
      <c r="Q2" s="402"/>
      <c r="R2" s="402"/>
      <c r="S2" s="402"/>
      <c r="T2" s="402"/>
    </row>
    <row r="3" spans="1:20" s="228" customFormat="1" ht="90" x14ac:dyDescent="0.55000000000000004">
      <c r="B3" s="244"/>
      <c r="C3" s="244"/>
      <c r="D3" s="232" t="s">
        <v>1</v>
      </c>
      <c r="E3" s="233" t="s">
        <v>182</v>
      </c>
      <c r="F3" s="233" t="s">
        <v>183</v>
      </c>
      <c r="G3" s="233" t="s">
        <v>184</v>
      </c>
      <c r="H3" s="232" t="s">
        <v>2</v>
      </c>
      <c r="I3" s="232" t="s">
        <v>3</v>
      </c>
      <c r="J3" s="234"/>
      <c r="K3" s="235" t="str">
        <f>'4a.FAnalysis'!B11</f>
        <v>Financial Discount Rate (12%)</v>
      </c>
      <c r="L3" s="234"/>
      <c r="M3" s="8"/>
      <c r="N3" s="8"/>
      <c r="O3" s="232" t="s">
        <v>1</v>
      </c>
      <c r="P3" s="233" t="s">
        <v>182</v>
      </c>
      <c r="Q3" s="233" t="s">
        <v>183</v>
      </c>
      <c r="R3" s="233" t="s">
        <v>184</v>
      </c>
      <c r="S3" s="232" t="s">
        <v>2</v>
      </c>
      <c r="T3" s="232" t="s">
        <v>3</v>
      </c>
    </row>
    <row r="4" spans="1:20" x14ac:dyDescent="0.55000000000000004">
      <c r="B4" s="405" t="s">
        <v>24</v>
      </c>
      <c r="C4" s="405"/>
      <c r="D4" s="40">
        <f>'4a.FAnalysis'!C$4</f>
        <v>8975664.4437488262</v>
      </c>
      <c r="E4" s="227">
        <f>'4a.FAnalysis'!C$5</f>
        <v>226739.68054602336</v>
      </c>
      <c r="F4" s="227">
        <f>'4a.FAnalysis'!C$6</f>
        <v>8749394.7632028013</v>
      </c>
      <c r="G4" s="227">
        <f>'4a.FAnalysis'!C$7</f>
        <v>-470</v>
      </c>
      <c r="H4" s="40">
        <f>'4a.FAnalysis'!C$8</f>
        <v>9788766.3926635869</v>
      </c>
      <c r="I4" s="40">
        <f>'4a.FAnalysis'!C$9</f>
        <v>813101.948914757</v>
      </c>
      <c r="J4" s="40"/>
      <c r="K4" s="237" t="str">
        <f>'4a.FAnalysis'!C$11</f>
        <v>DF</v>
      </c>
      <c r="L4" s="40"/>
      <c r="M4" s="405" t="s">
        <v>24</v>
      </c>
      <c r="N4" s="405"/>
      <c r="O4" s="40">
        <f>'4a.FAnalysis'!C$15</f>
        <v>1681903.0692913875</v>
      </c>
      <c r="P4" s="227">
        <f>'4a.FAnalysis'!C$16</f>
        <v>164190.0518860314</v>
      </c>
      <c r="Q4" s="227">
        <f>'4a.FAnalysis'!C$17</f>
        <v>1517728.7050295798</v>
      </c>
      <c r="R4" s="227">
        <f>'4a.FAnalysis'!C$18</f>
        <v>-15.68762422356078</v>
      </c>
      <c r="S4" s="40">
        <f>'4a.FAnalysis'!C$19</f>
        <v>1698025.0797983122</v>
      </c>
      <c r="T4" s="40">
        <f>'4a.FAnalysis'!C$20</f>
        <v>16122.010506924335</v>
      </c>
    </row>
    <row r="5" spans="1:20" x14ac:dyDescent="0.55000000000000004">
      <c r="B5" s="406" t="s">
        <v>0</v>
      </c>
      <c r="C5" s="240">
        <v>1</v>
      </c>
      <c r="D5" s="227">
        <f>'4a.FAnalysis'!D$4</f>
        <v>1229.9273015063013</v>
      </c>
      <c r="E5" s="353">
        <f>'4a.FAnalysis'!D$5</f>
        <v>1229.9273015063013</v>
      </c>
      <c r="F5" s="227">
        <f>'4a.FAnalysis'!D$6</f>
        <v>0</v>
      </c>
      <c r="G5" s="307" t="s">
        <v>31</v>
      </c>
      <c r="H5" s="227">
        <f>'4a.FAnalysis'!D$8</f>
        <v>0</v>
      </c>
      <c r="I5" s="227">
        <f>'4a.FAnalysis'!D$9</f>
        <v>-1229.9273015063013</v>
      </c>
      <c r="J5" s="227"/>
      <c r="K5" s="242">
        <f>'4a.FAnalysis'!D$11</f>
        <v>0.89285714285714279</v>
      </c>
      <c r="L5" s="227"/>
      <c r="M5" s="406" t="s">
        <v>0</v>
      </c>
      <c r="N5" s="240">
        <v>1</v>
      </c>
      <c r="O5" s="227">
        <f>'4a.FAnalysis'!D$15</f>
        <v>1098.1493763449118</v>
      </c>
      <c r="P5" s="227">
        <f>'4a.FAnalysis'!D$16</f>
        <v>1098.1493763449118</v>
      </c>
      <c r="Q5" s="227">
        <f>'4a.FAnalysis'!D$17</f>
        <v>0</v>
      </c>
      <c r="R5" s="307" t="s">
        <v>31</v>
      </c>
      <c r="S5" s="227">
        <f>'4a.FAnalysis'!D$19</f>
        <v>0</v>
      </c>
      <c r="T5" s="227">
        <f>'4a.FAnalysis'!D$20</f>
        <v>-1098.1493763449118</v>
      </c>
    </row>
    <row r="6" spans="1:20" x14ac:dyDescent="0.55000000000000004">
      <c r="B6" s="407"/>
      <c r="C6" s="243">
        <v>2</v>
      </c>
      <c r="D6" s="230">
        <f>'4a.FAnalysis'!E$4</f>
        <v>80625.888497837819</v>
      </c>
      <c r="E6" s="258">
        <f>'4a.FAnalysis'!E$5</f>
        <v>80625.888497837819</v>
      </c>
      <c r="F6" s="230">
        <f>'4a.FAnalysis'!E$6</f>
        <v>0</v>
      </c>
      <c r="G6" s="308" t="s">
        <v>31</v>
      </c>
      <c r="H6" s="230">
        <f>'4a.FAnalysis'!E$8</f>
        <v>0</v>
      </c>
      <c r="I6" s="230">
        <f>'4a.FAnalysis'!E$9</f>
        <v>-80625.888497837819</v>
      </c>
      <c r="J6" s="230"/>
      <c r="K6" s="231">
        <f>'4a.FAnalysis'!E$11</f>
        <v>0.79719387755102034</v>
      </c>
      <c r="L6" s="230"/>
      <c r="M6" s="407"/>
      <c r="N6" s="243">
        <v>2</v>
      </c>
      <c r="O6" s="230">
        <f>'4a.FAnalysis'!E$15</f>
        <v>64274.464682587539</v>
      </c>
      <c r="P6" s="230">
        <f>'4a.FAnalysis'!E$16</f>
        <v>64274.464682587539</v>
      </c>
      <c r="Q6" s="230">
        <f>'4a.FAnalysis'!E$17</f>
        <v>0</v>
      </c>
      <c r="R6" s="308" t="s">
        <v>31</v>
      </c>
      <c r="S6" s="230">
        <f>'4a.FAnalysis'!E$19</f>
        <v>0</v>
      </c>
      <c r="T6" s="230">
        <f>'4a.FAnalysis'!E$20</f>
        <v>-64274.464682587539</v>
      </c>
    </row>
    <row r="7" spans="1:20" x14ac:dyDescent="0.55000000000000004">
      <c r="B7" s="407"/>
      <c r="C7" s="243">
        <v>3</v>
      </c>
      <c r="D7" s="230">
        <f>'4a.FAnalysis'!F$4</f>
        <v>89655.783613176449</v>
      </c>
      <c r="E7" s="258">
        <f>'4a.FAnalysis'!F$5</f>
        <v>89655.783613176449</v>
      </c>
      <c r="F7" s="230">
        <f>'4a.FAnalysis'!F$6</f>
        <v>0</v>
      </c>
      <c r="G7" s="308" t="s">
        <v>31</v>
      </c>
      <c r="H7" s="230">
        <f>'4a.FAnalysis'!F$8</f>
        <v>0</v>
      </c>
      <c r="I7" s="230">
        <f>'4a.FAnalysis'!F$9</f>
        <v>-89655.783613176449</v>
      </c>
      <c r="J7" s="230"/>
      <c r="K7" s="231">
        <f>'4a.FAnalysis'!F$11</f>
        <v>0.71178024781341087</v>
      </c>
      <c r="L7" s="230"/>
      <c r="M7" s="407"/>
      <c r="N7" s="243">
        <v>3</v>
      </c>
      <c r="O7" s="230">
        <f>'4a.FAnalysis'!F$15</f>
        <v>63815.215878092276</v>
      </c>
      <c r="P7" s="230">
        <f>'4a.FAnalysis'!F$16</f>
        <v>63815.215878092276</v>
      </c>
      <c r="Q7" s="230">
        <f>'4a.FAnalysis'!F$17</f>
        <v>0</v>
      </c>
      <c r="R7" s="308" t="s">
        <v>31</v>
      </c>
      <c r="S7" s="230">
        <f>'4a.FAnalysis'!F$19</f>
        <v>0</v>
      </c>
      <c r="T7" s="230">
        <f>'4a.FAnalysis'!F$20</f>
        <v>-63815.215878092276</v>
      </c>
    </row>
    <row r="8" spans="1:20" x14ac:dyDescent="0.55000000000000004">
      <c r="B8" s="407"/>
      <c r="C8" s="243">
        <v>4</v>
      </c>
      <c r="D8" s="230">
        <f>'4a.FAnalysis'!G$4</f>
        <v>53814.946765414126</v>
      </c>
      <c r="E8" s="258">
        <f>'4a.FAnalysis'!G$5</f>
        <v>53814.946765414126</v>
      </c>
      <c r="F8" s="230">
        <f>'4a.FAnalysis'!G$6</f>
        <v>0</v>
      </c>
      <c r="G8" s="308" t="s">
        <v>31</v>
      </c>
      <c r="H8" s="230">
        <f>'4a.FAnalysis'!G$8</f>
        <v>0</v>
      </c>
      <c r="I8" s="230">
        <f>'4a.FAnalysis'!G$9</f>
        <v>-53814.946765414126</v>
      </c>
      <c r="J8" s="230"/>
      <c r="K8" s="231">
        <f>'4a.FAnalysis'!G$11</f>
        <v>0.63551807840483121</v>
      </c>
      <c r="L8" s="230"/>
      <c r="M8" s="407"/>
      <c r="N8" s="243">
        <v>4</v>
      </c>
      <c r="O8" s="230">
        <f>'4a.FAnalysis'!G$15</f>
        <v>34200.371557814273</v>
      </c>
      <c r="P8" s="230">
        <f>'4a.FAnalysis'!G$16</f>
        <v>34200.371557814273</v>
      </c>
      <c r="Q8" s="230">
        <f>'4a.FAnalysis'!G$17</f>
        <v>0</v>
      </c>
      <c r="R8" s="308" t="s">
        <v>31</v>
      </c>
      <c r="S8" s="230">
        <f>'4a.FAnalysis'!G$19</f>
        <v>0</v>
      </c>
      <c r="T8" s="230">
        <f>'4a.FAnalysis'!G$20</f>
        <v>-34200.371557814273</v>
      </c>
    </row>
    <row r="9" spans="1:20" x14ac:dyDescent="0.55000000000000004">
      <c r="B9" s="407"/>
      <c r="C9" s="243">
        <v>5</v>
      </c>
      <c r="D9" s="230">
        <f>'4a.FAnalysis'!H$4</f>
        <v>1413.1343680886444</v>
      </c>
      <c r="E9" s="258">
        <f>'4a.FAnalysis'!H$5</f>
        <v>1413.1343680886444</v>
      </c>
      <c r="F9" s="230">
        <f>'4a.FAnalysis'!H$6</f>
        <v>0</v>
      </c>
      <c r="G9" s="308" t="s">
        <v>31</v>
      </c>
      <c r="H9" s="230">
        <f>'4a.FAnalysis'!H$8</f>
        <v>0</v>
      </c>
      <c r="I9" s="230">
        <f>'4a.FAnalysis'!H$9</f>
        <v>-1413.1343680886444</v>
      </c>
      <c r="J9" s="230"/>
      <c r="K9" s="231">
        <f>'4a.FAnalysis'!H$11</f>
        <v>0.56742685571859919</v>
      </c>
      <c r="L9" s="230"/>
      <c r="M9" s="407"/>
      <c r="N9" s="243">
        <v>5</v>
      </c>
      <c r="O9" s="230">
        <f>'4a.FAnalysis'!H$15</f>
        <v>801.85039119242902</v>
      </c>
      <c r="P9" s="230">
        <f>'4a.FAnalysis'!H$16</f>
        <v>801.85039119242902</v>
      </c>
      <c r="Q9" s="230">
        <f>'4a.FAnalysis'!H$17</f>
        <v>0</v>
      </c>
      <c r="R9" s="308" t="s">
        <v>31</v>
      </c>
      <c r="S9" s="230">
        <f>'4a.FAnalysis'!H$19</f>
        <v>0</v>
      </c>
      <c r="T9" s="230">
        <f>'4a.FAnalysis'!H$20</f>
        <v>-801.85039119242902</v>
      </c>
    </row>
    <row r="10" spans="1:20" x14ac:dyDescent="0.55000000000000004">
      <c r="B10" s="407"/>
      <c r="C10" s="243">
        <v>6</v>
      </c>
      <c r="D10" s="230">
        <f>'4a.FAnalysis'!I$4</f>
        <v>284273.38799999998</v>
      </c>
      <c r="E10" s="306" t="str">
        <f>'4a.FAnalysis'!I$5</f>
        <v>--</v>
      </c>
      <c r="F10" s="259">
        <f>'4a.FAnalysis'!I$6</f>
        <v>284273.38799999998</v>
      </c>
      <c r="G10" s="308" t="s">
        <v>31</v>
      </c>
      <c r="H10" s="236">
        <f>'4a.FAnalysis'!I$8</f>
        <v>318043.23180000001</v>
      </c>
      <c r="I10" s="230">
        <f>'4a.FAnalysis'!I$9</f>
        <v>33769.843800000031</v>
      </c>
      <c r="J10" s="230"/>
      <c r="K10" s="231">
        <f>'4a.FAnalysis'!I$11</f>
        <v>0.50663112117732068</v>
      </c>
      <c r="L10" s="230"/>
      <c r="M10" s="407"/>
      <c r="N10" s="243">
        <v>6</v>
      </c>
      <c r="O10" s="230">
        <f>'4a.FAnalysis'!I$15</f>
        <v>144021.74528331548</v>
      </c>
      <c r="P10" s="306" t="str">
        <f>'4a.FAnalysis'!I$16</f>
        <v>--</v>
      </c>
      <c r="Q10" s="230">
        <f>'4a.FAnalysis'!I$17</f>
        <v>144021.74528331548</v>
      </c>
      <c r="R10" s="308" t="s">
        <v>31</v>
      </c>
      <c r="S10" s="230">
        <f>'4a.FAnalysis'!I$19</f>
        <v>161130.5991096925</v>
      </c>
      <c r="T10" s="230">
        <f>'4a.FAnalysis'!I$20</f>
        <v>17108.853826377006</v>
      </c>
    </row>
    <row r="11" spans="1:20" x14ac:dyDescent="0.55000000000000004">
      <c r="B11" s="407"/>
      <c r="C11" s="243">
        <v>7</v>
      </c>
      <c r="D11" s="230">
        <f>'4a.FAnalysis'!J$4</f>
        <v>309857.99292000005</v>
      </c>
      <c r="E11" s="306" t="str">
        <f>'4a.FAnalysis'!J$5</f>
        <v>--</v>
      </c>
      <c r="F11" s="259">
        <f>'4a.FAnalysis'!J$6</f>
        <v>309857.99292000005</v>
      </c>
      <c r="G11" s="308" t="s">
        <v>31</v>
      </c>
      <c r="H11" s="236">
        <f>'4a.FAnalysis'!J$8</f>
        <v>346667.12266200007</v>
      </c>
      <c r="I11" s="230">
        <f>'4a.FAnalysis'!J$9</f>
        <v>36809.129742000019</v>
      </c>
      <c r="J11" s="230"/>
      <c r="K11" s="231">
        <f>'4a.FAnalysis'!J$11</f>
        <v>0.45234921533689343</v>
      </c>
      <c r="L11" s="230"/>
      <c r="M11" s="407"/>
      <c r="N11" s="243">
        <v>7</v>
      </c>
      <c r="O11" s="230">
        <f>'4a.FAnalysis'!J$15</f>
        <v>140164.01996322669</v>
      </c>
      <c r="P11" s="306" t="str">
        <f>'4a.FAnalysis'!J$16</f>
        <v>--</v>
      </c>
      <c r="Q11" s="230">
        <f>'4a.FAnalysis'!J$17</f>
        <v>140164.01996322669</v>
      </c>
      <c r="R11" s="308" t="s">
        <v>31</v>
      </c>
      <c r="S11" s="230">
        <f>'4a.FAnalysis'!J$19</f>
        <v>156814.60091925433</v>
      </c>
      <c r="T11" s="230">
        <f>'4a.FAnalysis'!J$20</f>
        <v>16650.580956027614</v>
      </c>
    </row>
    <row r="12" spans="1:20" x14ac:dyDescent="0.55000000000000004">
      <c r="B12" s="407"/>
      <c r="C12" s="243">
        <v>8</v>
      </c>
      <c r="D12" s="230">
        <f>'4a.FAnalysis'!K$4</f>
        <v>337745.21228280006</v>
      </c>
      <c r="E12" s="306" t="str">
        <f>'4a.FAnalysis'!K$5</f>
        <v>--</v>
      </c>
      <c r="F12" s="259">
        <f>'4a.FAnalysis'!K$6</f>
        <v>337745.21228280006</v>
      </c>
      <c r="G12" s="308" t="s">
        <v>31</v>
      </c>
      <c r="H12" s="236">
        <f>'4a.FAnalysis'!K$8</f>
        <v>377867.16370158008</v>
      </c>
      <c r="I12" s="230">
        <f>'4a.FAnalysis'!K$9</f>
        <v>40121.951418780023</v>
      </c>
      <c r="J12" s="230"/>
      <c r="K12" s="231">
        <f>'4a.FAnalysis'!K$11</f>
        <v>0.4038832279793691</v>
      </c>
      <c r="L12" s="230"/>
      <c r="M12" s="407"/>
      <c r="N12" s="243">
        <v>8</v>
      </c>
      <c r="O12" s="230">
        <f>'4a.FAnalysis'!K$15</f>
        <v>136409.62657135454</v>
      </c>
      <c r="P12" s="306" t="str">
        <f>'4a.FAnalysis'!K$16</f>
        <v>--</v>
      </c>
      <c r="Q12" s="230">
        <f>'4a.FAnalysis'!K$17</f>
        <v>136409.62657135454</v>
      </c>
      <c r="R12" s="308" t="s">
        <v>31</v>
      </c>
      <c r="S12" s="230">
        <f>'4a.FAnalysis'!K$19</f>
        <v>152614.20982320284</v>
      </c>
      <c r="T12" s="230">
        <f>'4a.FAnalysis'!K$20</f>
        <v>16204.583251848304</v>
      </c>
    </row>
    <row r="13" spans="1:20" x14ac:dyDescent="0.55000000000000004">
      <c r="B13" s="407"/>
      <c r="C13" s="243">
        <v>9</v>
      </c>
      <c r="D13" s="230">
        <f>'4a.FAnalysis'!L$4</f>
        <v>355341.73499999999</v>
      </c>
      <c r="E13" s="306" t="str">
        <f>'4a.FAnalysis'!L$5</f>
        <v>--</v>
      </c>
      <c r="F13" s="259">
        <f>'4a.FAnalysis'!L$6</f>
        <v>355341.73499999999</v>
      </c>
      <c r="G13" s="308" t="s">
        <v>31</v>
      </c>
      <c r="H13" s="236">
        <f>'4a.FAnalysis'!L$8</f>
        <v>397554.03975</v>
      </c>
      <c r="I13" s="230">
        <f>'4a.FAnalysis'!L$9</f>
        <v>42212.30475000001</v>
      </c>
      <c r="J13" s="230"/>
      <c r="K13" s="231">
        <f>'4a.FAnalysis'!L$11</f>
        <v>0.36061002498157957</v>
      </c>
      <c r="L13" s="230"/>
      <c r="M13" s="407"/>
      <c r="N13" s="243">
        <v>9</v>
      </c>
      <c r="O13" s="230">
        <f>'4a.FAnalysis'!L$15</f>
        <v>128139.79193534782</v>
      </c>
      <c r="P13" s="306" t="str">
        <f>'4a.FAnalysis'!L$16</f>
        <v>--</v>
      </c>
      <c r="Q13" s="230">
        <f>'4a.FAnalysis'!L$17</f>
        <v>128139.79193534782</v>
      </c>
      <c r="R13" s="308" t="s">
        <v>31</v>
      </c>
      <c r="S13" s="230">
        <f>'4a.FAnalysis'!L$19</f>
        <v>143361.97220577538</v>
      </c>
      <c r="T13" s="230">
        <f>'4a.FAnalysis'!L$20</f>
        <v>15222.180270427554</v>
      </c>
    </row>
    <row r="14" spans="1:20" x14ac:dyDescent="0.55000000000000004">
      <c r="B14" s="407"/>
      <c r="C14" s="243">
        <v>10</v>
      </c>
      <c r="D14" s="230">
        <f>'4a.FAnalysis'!M$4</f>
        <v>355341.73499999999</v>
      </c>
      <c r="E14" s="306" t="str">
        <f>'4a.FAnalysis'!M$5</f>
        <v>--</v>
      </c>
      <c r="F14" s="259">
        <f>'4a.FAnalysis'!M$6</f>
        <v>355341.73499999999</v>
      </c>
      <c r="G14" s="308" t="s">
        <v>31</v>
      </c>
      <c r="H14" s="236">
        <f>'4a.FAnalysis'!M$8</f>
        <v>397554.03975</v>
      </c>
      <c r="I14" s="230">
        <f>'4a.FAnalysis'!M$9</f>
        <v>42212.30475000001</v>
      </c>
      <c r="J14" s="230"/>
      <c r="K14" s="231">
        <f>'4a.FAnalysis'!M$11</f>
        <v>0.32197323659069599</v>
      </c>
      <c r="L14" s="230"/>
      <c r="M14" s="407"/>
      <c r="N14" s="243">
        <v>10</v>
      </c>
      <c r="O14" s="230">
        <f>'4a.FAnalysis'!M$15</f>
        <v>114410.52851370339</v>
      </c>
      <c r="P14" s="306" t="str">
        <f>'4a.FAnalysis'!M$16</f>
        <v>--</v>
      </c>
      <c r="Q14" s="230">
        <f>'4a.FAnalysis'!M$17</f>
        <v>114410.52851370339</v>
      </c>
      <c r="R14" s="308" t="s">
        <v>31</v>
      </c>
      <c r="S14" s="230">
        <f>'4a.FAnalysis'!M$19</f>
        <v>128001.7608980137</v>
      </c>
      <c r="T14" s="230">
        <f>'4a.FAnalysis'!M$20</f>
        <v>13591.232384310313</v>
      </c>
    </row>
    <row r="15" spans="1:20" x14ac:dyDescent="0.55000000000000004">
      <c r="B15" s="407"/>
      <c r="C15" s="243">
        <v>11</v>
      </c>
      <c r="D15" s="230">
        <f>'4a.FAnalysis'!N$4</f>
        <v>355341.73499999999</v>
      </c>
      <c r="E15" s="306" t="str">
        <f>'4a.FAnalysis'!N$5</f>
        <v>--</v>
      </c>
      <c r="F15" s="259">
        <f>'4a.FAnalysis'!N$6</f>
        <v>355341.73499999999</v>
      </c>
      <c r="G15" s="308" t="s">
        <v>31</v>
      </c>
      <c r="H15" s="236">
        <f>'4a.FAnalysis'!N$8</f>
        <v>397554.03975</v>
      </c>
      <c r="I15" s="230">
        <f>'4a.FAnalysis'!N$9</f>
        <v>42212.30475000001</v>
      </c>
      <c r="J15" s="230"/>
      <c r="K15" s="231">
        <f>'4a.FAnalysis'!N$11</f>
        <v>0.28747610409883567</v>
      </c>
      <c r="L15" s="230"/>
      <c r="M15" s="407"/>
      <c r="N15" s="243">
        <v>11</v>
      </c>
      <c r="O15" s="230">
        <f>'4a.FAnalysis'!N$15</f>
        <v>102152.25760152088</v>
      </c>
      <c r="P15" s="306" t="str">
        <f>'4a.FAnalysis'!N$16</f>
        <v>--</v>
      </c>
      <c r="Q15" s="230">
        <f>'4a.FAnalysis'!N$17</f>
        <v>102152.25760152088</v>
      </c>
      <c r="R15" s="308" t="s">
        <v>31</v>
      </c>
      <c r="S15" s="230">
        <f>'4a.FAnalysis'!N$19</f>
        <v>114287.28651608365</v>
      </c>
      <c r="T15" s="230">
        <f>'4a.FAnalysis'!N$20</f>
        <v>12135.028914562778</v>
      </c>
    </row>
    <row r="16" spans="1:20" x14ac:dyDescent="0.55000000000000004">
      <c r="B16" s="407"/>
      <c r="C16" s="243">
        <v>12</v>
      </c>
      <c r="D16" s="230">
        <f>'4a.FAnalysis'!O$4</f>
        <v>355341.73499999999</v>
      </c>
      <c r="E16" s="306" t="str">
        <f>'4a.FAnalysis'!O$5</f>
        <v>--</v>
      </c>
      <c r="F16" s="259">
        <f>'4a.FAnalysis'!O$6</f>
        <v>355341.73499999999</v>
      </c>
      <c r="G16" s="308" t="s">
        <v>31</v>
      </c>
      <c r="H16" s="236">
        <f>'4a.FAnalysis'!O$8</f>
        <v>397554.03975</v>
      </c>
      <c r="I16" s="230">
        <f>'4a.FAnalysis'!O$9</f>
        <v>42212.30475000001</v>
      </c>
      <c r="J16" s="230"/>
      <c r="K16" s="231">
        <f>'4a.FAnalysis'!O$11</f>
        <v>0.25667509294538904</v>
      </c>
      <c r="L16" s="230"/>
      <c r="M16" s="407"/>
      <c r="N16" s="243">
        <v>12</v>
      </c>
      <c r="O16" s="230">
        <f>'4a.FAnalysis'!O$15</f>
        <v>91207.372858500792</v>
      </c>
      <c r="P16" s="306" t="str">
        <f>'4a.FAnalysis'!O$16</f>
        <v>--</v>
      </c>
      <c r="Q16" s="230">
        <f>'4a.FAnalysis'!O$17</f>
        <v>91207.372858500792</v>
      </c>
      <c r="R16" s="308" t="s">
        <v>31</v>
      </c>
      <c r="S16" s="230">
        <f>'4a.FAnalysis'!O$19</f>
        <v>102042.22010364613</v>
      </c>
      <c r="T16" s="230">
        <f>'4a.FAnalysis'!O$20</f>
        <v>10834.84724514534</v>
      </c>
    </row>
    <row r="17" spans="2:20" x14ac:dyDescent="0.55000000000000004">
      <c r="B17" s="407"/>
      <c r="C17" s="243">
        <v>13</v>
      </c>
      <c r="D17" s="230">
        <f>'4a.FAnalysis'!P$4</f>
        <v>355341.73499999999</v>
      </c>
      <c r="E17" s="306" t="str">
        <f>'4a.FAnalysis'!P$5</f>
        <v>--</v>
      </c>
      <c r="F17" s="259">
        <f>'4a.FAnalysis'!P$6</f>
        <v>355341.73499999999</v>
      </c>
      <c r="G17" s="308" t="s">
        <v>31</v>
      </c>
      <c r="H17" s="236">
        <f>'4a.FAnalysis'!P$8</f>
        <v>397554.03975</v>
      </c>
      <c r="I17" s="230">
        <f>'4a.FAnalysis'!P$9</f>
        <v>42212.30475000001</v>
      </c>
      <c r="J17" s="230"/>
      <c r="K17" s="231">
        <f>'4a.FAnalysis'!P$11</f>
        <v>0.22917419012981158</v>
      </c>
      <c r="L17" s="230"/>
      <c r="M17" s="407"/>
      <c r="N17" s="243">
        <v>13</v>
      </c>
      <c r="O17" s="230">
        <f>'4a.FAnalysis'!P$15</f>
        <v>81435.154337947111</v>
      </c>
      <c r="P17" s="306" t="str">
        <f>'4a.FAnalysis'!P$16</f>
        <v>--</v>
      </c>
      <c r="Q17" s="230">
        <f>'4a.FAnalysis'!P$17</f>
        <v>81435.154337947111</v>
      </c>
      <c r="R17" s="308" t="s">
        <v>31</v>
      </c>
      <c r="S17" s="230">
        <f>'4a.FAnalysis'!P$19</f>
        <v>91109.125092541173</v>
      </c>
      <c r="T17" s="230">
        <f>'4a.FAnalysis'!P$20</f>
        <v>9673.970754594051</v>
      </c>
    </row>
    <row r="18" spans="2:20" x14ac:dyDescent="0.55000000000000004">
      <c r="B18" s="407"/>
      <c r="C18" s="243">
        <v>14</v>
      </c>
      <c r="D18" s="230">
        <f>'4a.FAnalysis'!Q$4</f>
        <v>355341.73499999999</v>
      </c>
      <c r="E18" s="306" t="str">
        <f>'4a.FAnalysis'!Q$5</f>
        <v>--</v>
      </c>
      <c r="F18" s="259">
        <f>'4a.FAnalysis'!Q$6</f>
        <v>355341.73499999999</v>
      </c>
      <c r="G18" s="308" t="s">
        <v>31</v>
      </c>
      <c r="H18" s="236">
        <f>'4a.FAnalysis'!Q$8</f>
        <v>397554.03975</v>
      </c>
      <c r="I18" s="230">
        <f>'4a.FAnalysis'!Q$9</f>
        <v>42212.30475000001</v>
      </c>
      <c r="J18" s="230"/>
      <c r="K18" s="231">
        <f>'4a.FAnalysis'!Q$11</f>
        <v>0.20461981261590317</v>
      </c>
      <c r="L18" s="230"/>
      <c r="M18" s="407"/>
      <c r="N18" s="243">
        <v>14</v>
      </c>
      <c r="O18" s="230">
        <f>'4a.FAnalysis'!Q$15</f>
        <v>72709.95923030992</v>
      </c>
      <c r="P18" s="306" t="str">
        <f>'4a.FAnalysis'!Q$16</f>
        <v>--</v>
      </c>
      <c r="Q18" s="230">
        <f>'4a.FAnalysis'!Q$17</f>
        <v>72709.95923030992</v>
      </c>
      <c r="R18" s="308" t="s">
        <v>31</v>
      </c>
      <c r="S18" s="230">
        <f>'4a.FAnalysis'!Q$19</f>
        <v>81347.433118340326</v>
      </c>
      <c r="T18" s="230">
        <f>'4a.FAnalysis'!Q$20</f>
        <v>8637.4738880304012</v>
      </c>
    </row>
    <row r="19" spans="2:20" x14ac:dyDescent="0.55000000000000004">
      <c r="B19" s="407"/>
      <c r="C19" s="243">
        <v>15</v>
      </c>
      <c r="D19" s="230">
        <f>'4a.FAnalysis'!R$4</f>
        <v>355341.73499999999</v>
      </c>
      <c r="E19" s="306" t="str">
        <f>'4a.FAnalysis'!R$5</f>
        <v>--</v>
      </c>
      <c r="F19" s="259">
        <f>'4a.FAnalysis'!R$6</f>
        <v>355341.73499999999</v>
      </c>
      <c r="G19" s="308" t="s">
        <v>31</v>
      </c>
      <c r="H19" s="236">
        <f>'4a.FAnalysis'!R$8</f>
        <v>397554.03975</v>
      </c>
      <c r="I19" s="230">
        <f>'4a.FAnalysis'!R$9</f>
        <v>42212.30475000001</v>
      </c>
      <c r="J19" s="230"/>
      <c r="K19" s="231">
        <f>'4a.FAnalysis'!R$11</f>
        <v>0.18269626126419927</v>
      </c>
      <c r="L19" s="230"/>
      <c r="M19" s="407"/>
      <c r="N19" s="243">
        <v>15</v>
      </c>
      <c r="O19" s="230">
        <f>'4a.FAnalysis'!R$15</f>
        <v>64919.606455633861</v>
      </c>
      <c r="P19" s="306" t="str">
        <f>'4a.FAnalysis'!R$16</f>
        <v>--</v>
      </c>
      <c r="Q19" s="230">
        <f>'4a.FAnalysis'!R$17</f>
        <v>64919.606455633861</v>
      </c>
      <c r="R19" s="308" t="s">
        <v>31</v>
      </c>
      <c r="S19" s="230">
        <f>'4a.FAnalysis'!R$19</f>
        <v>72631.636712803869</v>
      </c>
      <c r="T19" s="230">
        <f>'4a.FAnalysis'!R$20</f>
        <v>7712.0302571700022</v>
      </c>
    </row>
    <row r="20" spans="2:20" x14ac:dyDescent="0.55000000000000004">
      <c r="B20" s="407"/>
      <c r="C20" s="243">
        <v>16</v>
      </c>
      <c r="D20" s="230">
        <f>'4a.FAnalysis'!S$4</f>
        <v>355341.73499999999</v>
      </c>
      <c r="E20" s="306" t="str">
        <f>'4a.FAnalysis'!S$5</f>
        <v>--</v>
      </c>
      <c r="F20" s="259">
        <f>'4a.FAnalysis'!S$6</f>
        <v>355341.73499999999</v>
      </c>
      <c r="G20" s="308" t="s">
        <v>31</v>
      </c>
      <c r="H20" s="236">
        <f>'4a.FAnalysis'!S$8</f>
        <v>397554.03975</v>
      </c>
      <c r="I20" s="230">
        <f>'4a.FAnalysis'!S$9</f>
        <v>42212.30475000001</v>
      </c>
      <c r="J20" s="230"/>
      <c r="K20" s="231">
        <f>'4a.FAnalysis'!S$11</f>
        <v>0.16312166184303503</v>
      </c>
      <c r="L20" s="230"/>
      <c r="M20" s="407"/>
      <c r="N20" s="243">
        <v>16</v>
      </c>
      <c r="O20" s="230">
        <f>'4a.FAnalysis'!S$15</f>
        <v>57963.934335387363</v>
      </c>
      <c r="P20" s="306" t="str">
        <f>'4a.FAnalysis'!S$16</f>
        <v>--</v>
      </c>
      <c r="Q20" s="230">
        <f>'4a.FAnalysis'!S$17</f>
        <v>57963.934335387363</v>
      </c>
      <c r="R20" s="308" t="s">
        <v>31</v>
      </c>
      <c r="S20" s="230">
        <f>'4a.FAnalysis'!S$19</f>
        <v>64849.67563643201</v>
      </c>
      <c r="T20" s="230">
        <f>'4a.FAnalysis'!S$20</f>
        <v>6885.7413010446435</v>
      </c>
    </row>
    <row r="21" spans="2:20" x14ac:dyDescent="0.55000000000000004">
      <c r="B21" s="407"/>
      <c r="C21" s="243">
        <v>17</v>
      </c>
      <c r="D21" s="230">
        <f>'4a.FAnalysis'!T$4</f>
        <v>355341.73499999999</v>
      </c>
      <c r="E21" s="306" t="str">
        <f>'4a.FAnalysis'!T$5</f>
        <v>--</v>
      </c>
      <c r="F21" s="259">
        <f>'4a.FAnalysis'!T$6</f>
        <v>355341.73499999999</v>
      </c>
      <c r="G21" s="308" t="s">
        <v>31</v>
      </c>
      <c r="H21" s="236">
        <f>'4a.FAnalysis'!T$8</f>
        <v>397554.03975</v>
      </c>
      <c r="I21" s="230">
        <f>'4a.FAnalysis'!T$9</f>
        <v>42212.30475000001</v>
      </c>
      <c r="J21" s="230"/>
      <c r="K21" s="231">
        <f>'4a.FAnalysis'!T$11</f>
        <v>0.14564434093128129</v>
      </c>
      <c r="L21" s="230"/>
      <c r="M21" s="407"/>
      <c r="N21" s="243">
        <v>17</v>
      </c>
      <c r="O21" s="230">
        <f>'4a.FAnalysis'!T$15</f>
        <v>51753.512799453005</v>
      </c>
      <c r="P21" s="306" t="str">
        <f>'4a.FAnalysis'!T$16</f>
        <v>--</v>
      </c>
      <c r="Q21" s="230">
        <f>'4a.FAnalysis'!T$17</f>
        <v>51753.512799453005</v>
      </c>
      <c r="R21" s="308" t="s">
        <v>31</v>
      </c>
      <c r="S21" s="230">
        <f>'4a.FAnalysis'!T$19</f>
        <v>57901.49610395715</v>
      </c>
      <c r="T21" s="230">
        <f>'4a.FAnalysis'!T$20</f>
        <v>6147.983304504146</v>
      </c>
    </row>
    <row r="22" spans="2:20" x14ac:dyDescent="0.55000000000000004">
      <c r="B22" s="407"/>
      <c r="C22" s="243">
        <v>18</v>
      </c>
      <c r="D22" s="230">
        <f>'4a.FAnalysis'!U$4</f>
        <v>355341.73499999999</v>
      </c>
      <c r="E22" s="306" t="str">
        <f>'4a.FAnalysis'!U$5</f>
        <v>--</v>
      </c>
      <c r="F22" s="259">
        <f>'4a.FAnalysis'!U$6</f>
        <v>355341.73499999999</v>
      </c>
      <c r="G22" s="308" t="s">
        <v>31</v>
      </c>
      <c r="H22" s="236">
        <f>'4a.FAnalysis'!U$8</f>
        <v>397554.03975</v>
      </c>
      <c r="I22" s="230">
        <f>'4a.FAnalysis'!U$9</f>
        <v>42212.30475000001</v>
      </c>
      <c r="J22" s="230"/>
      <c r="K22" s="231">
        <f>'4a.FAnalysis'!U$11</f>
        <v>0.13003959011721541</v>
      </c>
      <c r="L22" s="230"/>
      <c r="M22" s="407"/>
      <c r="N22" s="243">
        <v>18</v>
      </c>
      <c r="O22" s="230">
        <f>'4a.FAnalysis'!U$15</f>
        <v>46208.493570940176</v>
      </c>
      <c r="P22" s="306" t="str">
        <f>'4a.FAnalysis'!U$16</f>
        <v>--</v>
      </c>
      <c r="Q22" s="230">
        <f>'4a.FAnalysis'!U$17</f>
        <v>46208.493570940176</v>
      </c>
      <c r="R22" s="308" t="s">
        <v>31</v>
      </c>
      <c r="S22" s="230">
        <f>'4a.FAnalysis'!U$19</f>
        <v>51697.76437853316</v>
      </c>
      <c r="T22" s="230">
        <f>'4a.FAnalysis'!U$20</f>
        <v>5489.2708075929868</v>
      </c>
    </row>
    <row r="23" spans="2:20" x14ac:dyDescent="0.55000000000000004">
      <c r="B23" s="407"/>
      <c r="C23" s="243">
        <v>19</v>
      </c>
      <c r="D23" s="230">
        <f>'4a.FAnalysis'!V$4</f>
        <v>355341.73499999999</v>
      </c>
      <c r="E23" s="306" t="str">
        <f>'4a.FAnalysis'!V$5</f>
        <v>--</v>
      </c>
      <c r="F23" s="259">
        <f>'4a.FAnalysis'!V$6</f>
        <v>355341.73499999999</v>
      </c>
      <c r="G23" s="308" t="s">
        <v>31</v>
      </c>
      <c r="H23" s="236">
        <f>'4a.FAnalysis'!V$8</f>
        <v>397554.03975</v>
      </c>
      <c r="I23" s="230">
        <f>'4a.FAnalysis'!V$9</f>
        <v>42212.30475000001</v>
      </c>
      <c r="J23" s="230"/>
      <c r="K23" s="231">
        <f>'4a.FAnalysis'!V$11</f>
        <v>0.1161067768903709</v>
      </c>
      <c r="L23" s="230"/>
      <c r="M23" s="407"/>
      <c r="N23" s="243">
        <v>19</v>
      </c>
      <c r="O23" s="230">
        <f>'4a.FAnalysis'!V$15</f>
        <v>41257.583545482295</v>
      </c>
      <c r="P23" s="306" t="str">
        <f>'4a.FAnalysis'!V$16</f>
        <v>--</v>
      </c>
      <c r="Q23" s="230">
        <f>'4a.FAnalysis'!V$17</f>
        <v>41257.583545482295</v>
      </c>
      <c r="R23" s="308" t="s">
        <v>31</v>
      </c>
      <c r="S23" s="230">
        <f>'4a.FAnalysis'!V$19</f>
        <v>46158.71819511889</v>
      </c>
      <c r="T23" s="230">
        <f>'4a.FAnalysis'!V$20</f>
        <v>4901.134649636595</v>
      </c>
    </row>
    <row r="24" spans="2:20" x14ac:dyDescent="0.55000000000000004">
      <c r="B24" s="407"/>
      <c r="C24" s="243">
        <v>20</v>
      </c>
      <c r="D24" s="230">
        <f>'4a.FAnalysis'!W$4</f>
        <v>355341.73499999999</v>
      </c>
      <c r="E24" s="306" t="str">
        <f>'4a.FAnalysis'!W$5</f>
        <v>--</v>
      </c>
      <c r="F24" s="259">
        <f>'4a.FAnalysis'!W$6</f>
        <v>355341.73499999999</v>
      </c>
      <c r="G24" s="308" t="s">
        <v>31</v>
      </c>
      <c r="H24" s="236">
        <f>'4a.FAnalysis'!W$8</f>
        <v>397554.03975</v>
      </c>
      <c r="I24" s="230">
        <f>'4a.FAnalysis'!W$9</f>
        <v>42212.30475000001</v>
      </c>
      <c r="J24" s="230"/>
      <c r="K24" s="231">
        <f>'4a.FAnalysis'!W$11</f>
        <v>0.1036667650806883</v>
      </c>
      <c r="L24" s="230"/>
      <c r="M24" s="407"/>
      <c r="N24" s="243">
        <v>20</v>
      </c>
      <c r="O24" s="230">
        <f>'4a.FAnalysis'!W$15</f>
        <v>36837.128165609196</v>
      </c>
      <c r="P24" s="306" t="str">
        <f>'4a.FAnalysis'!W$16</f>
        <v>--</v>
      </c>
      <c r="Q24" s="230">
        <f>'4a.FAnalysis'!W$17</f>
        <v>36837.128165609196</v>
      </c>
      <c r="R24" s="308" t="s">
        <v>31</v>
      </c>
      <c r="S24" s="230">
        <f>'4a.FAnalysis'!W$19</f>
        <v>41213.141245641869</v>
      </c>
      <c r="T24" s="230">
        <f>'4a.FAnalysis'!W$20</f>
        <v>4376.0130800326742</v>
      </c>
    </row>
    <row r="25" spans="2:20" x14ac:dyDescent="0.55000000000000004">
      <c r="B25" s="407"/>
      <c r="C25" s="243">
        <v>21</v>
      </c>
      <c r="D25" s="230">
        <f>'4a.FAnalysis'!X$4</f>
        <v>355341.73499999999</v>
      </c>
      <c r="E25" s="306" t="str">
        <f>'4a.FAnalysis'!X$5</f>
        <v>--</v>
      </c>
      <c r="F25" s="259">
        <f>'4a.FAnalysis'!X$6</f>
        <v>355341.73499999999</v>
      </c>
      <c r="G25" s="308" t="s">
        <v>31</v>
      </c>
      <c r="H25" s="236">
        <f>'4a.FAnalysis'!X$8</f>
        <v>397554.03975</v>
      </c>
      <c r="I25" s="230">
        <f>'4a.FAnalysis'!X$9</f>
        <v>42212.30475000001</v>
      </c>
      <c r="J25" s="230"/>
      <c r="K25" s="231">
        <f>'4a.FAnalysis'!X$11</f>
        <v>9.2559611679185971E-2</v>
      </c>
      <c r="L25" s="230"/>
      <c r="M25" s="407"/>
      <c r="N25" s="243">
        <v>21</v>
      </c>
      <c r="O25" s="230">
        <f>'4a.FAnalysis'!X$15</f>
        <v>32890.293005008207</v>
      </c>
      <c r="P25" s="306" t="str">
        <f>'4a.FAnalysis'!X$16</f>
        <v>--</v>
      </c>
      <c r="Q25" s="230">
        <f>'4a.FAnalysis'!X$17</f>
        <v>32890.293005008207</v>
      </c>
      <c r="R25" s="308" t="s">
        <v>31</v>
      </c>
      <c r="S25" s="230">
        <f>'4a.FAnalysis'!X$19</f>
        <v>36797.447540751666</v>
      </c>
      <c r="T25" s="230">
        <f>'4a.FAnalysis'!X$20</f>
        <v>3907.1545357434584</v>
      </c>
    </row>
    <row r="26" spans="2:20" x14ac:dyDescent="0.55000000000000004">
      <c r="B26" s="407"/>
      <c r="C26" s="243">
        <v>22</v>
      </c>
      <c r="D26" s="230">
        <f>'4a.FAnalysis'!Y$4</f>
        <v>355341.73499999999</v>
      </c>
      <c r="E26" s="306" t="str">
        <f>'4a.FAnalysis'!Y$5</f>
        <v>--</v>
      </c>
      <c r="F26" s="259">
        <f>'4a.FAnalysis'!Y$6</f>
        <v>355341.73499999999</v>
      </c>
      <c r="G26" s="308" t="s">
        <v>31</v>
      </c>
      <c r="H26" s="236">
        <f>'4a.FAnalysis'!Y$8</f>
        <v>397554.03975</v>
      </c>
      <c r="I26" s="230">
        <f>'4a.FAnalysis'!Y$9</f>
        <v>42212.30475000001</v>
      </c>
      <c r="J26" s="230"/>
      <c r="K26" s="231">
        <f>'4a.FAnalysis'!Y$11</f>
        <v>8.2642510427844609E-2</v>
      </c>
      <c r="L26" s="230"/>
      <c r="M26" s="407"/>
      <c r="N26" s="243">
        <v>22</v>
      </c>
      <c r="O26" s="230">
        <f>'4a.FAnalysis'!Y$15</f>
        <v>29366.333040185895</v>
      </c>
      <c r="P26" s="306" t="str">
        <f>'4a.FAnalysis'!Y$16</f>
        <v>--</v>
      </c>
      <c r="Q26" s="230">
        <f>'4a.FAnalysis'!Y$17</f>
        <v>29366.333040185895</v>
      </c>
      <c r="R26" s="308" t="s">
        <v>31</v>
      </c>
      <c r="S26" s="230">
        <f>'4a.FAnalysis'!Y$19</f>
        <v>32854.863875671123</v>
      </c>
      <c r="T26" s="230">
        <f>'4a.FAnalysis'!Y$20</f>
        <v>3488.5308354852305</v>
      </c>
    </row>
    <row r="27" spans="2:20" x14ac:dyDescent="0.55000000000000004">
      <c r="B27" s="407"/>
      <c r="C27" s="243">
        <v>23</v>
      </c>
      <c r="D27" s="230">
        <f>'4a.FAnalysis'!Z$4</f>
        <v>355341.73499999999</v>
      </c>
      <c r="E27" s="306" t="str">
        <f>'4a.FAnalysis'!Z$5</f>
        <v>--</v>
      </c>
      <c r="F27" s="259">
        <f>'4a.FAnalysis'!Z$6</f>
        <v>355341.73499999999</v>
      </c>
      <c r="G27" s="308" t="s">
        <v>31</v>
      </c>
      <c r="H27" s="236">
        <f>'4a.FAnalysis'!Z$8</f>
        <v>397554.03975</v>
      </c>
      <c r="I27" s="230">
        <f>'4a.FAnalysis'!Z$9</f>
        <v>42212.30475000001</v>
      </c>
      <c r="J27" s="230"/>
      <c r="K27" s="231">
        <f>'4a.FAnalysis'!Z$11</f>
        <v>7.3787955739146982E-2</v>
      </c>
      <c r="L27" s="230"/>
      <c r="M27" s="407"/>
      <c r="N27" s="243">
        <v>23</v>
      </c>
      <c r="O27" s="230">
        <f>'4a.FAnalysis'!Z$15</f>
        <v>26219.940214451693</v>
      </c>
      <c r="P27" s="306" t="str">
        <f>'4a.FAnalysis'!Z$16</f>
        <v>--</v>
      </c>
      <c r="Q27" s="230">
        <f>'4a.FAnalysis'!Z$17</f>
        <v>26219.940214451693</v>
      </c>
      <c r="R27" s="308" t="s">
        <v>31</v>
      </c>
      <c r="S27" s="230">
        <f>'4a.FAnalysis'!Z$19</f>
        <v>29334.69988899208</v>
      </c>
      <c r="T27" s="230">
        <f>'4a.FAnalysis'!Z$20</f>
        <v>3114.7596745403848</v>
      </c>
    </row>
    <row r="28" spans="2:20" x14ac:dyDescent="0.55000000000000004">
      <c r="B28" s="407"/>
      <c r="C28" s="243">
        <v>24</v>
      </c>
      <c r="D28" s="230">
        <f>'4a.FAnalysis'!AA$4</f>
        <v>355341.73499999999</v>
      </c>
      <c r="E28" s="306" t="str">
        <f>'4a.FAnalysis'!AA$5</f>
        <v>--</v>
      </c>
      <c r="F28" s="259">
        <f>'4a.FAnalysis'!AA$6</f>
        <v>355341.73499999999</v>
      </c>
      <c r="G28" s="308" t="s">
        <v>31</v>
      </c>
      <c r="H28" s="236">
        <f>'4a.FAnalysis'!AA$8</f>
        <v>397554.03975</v>
      </c>
      <c r="I28" s="230">
        <f>'4a.FAnalysis'!AA$9</f>
        <v>42212.30475000001</v>
      </c>
      <c r="J28" s="230"/>
      <c r="K28" s="231">
        <f>'4a.FAnalysis'!AA$11</f>
        <v>6.5882103338524081E-2</v>
      </c>
      <c r="L28" s="230"/>
      <c r="M28" s="407"/>
      <c r="N28" s="243">
        <v>24</v>
      </c>
      <c r="O28" s="230">
        <f>'4a.FAnalysis'!AA$15</f>
        <v>23410.66090576044</v>
      </c>
      <c r="P28" s="306" t="str">
        <f>'4a.FAnalysis'!AA$16</f>
        <v>--</v>
      </c>
      <c r="Q28" s="230">
        <f>'4a.FAnalysis'!AA$17</f>
        <v>23410.66090576044</v>
      </c>
      <c r="R28" s="308" t="s">
        <v>31</v>
      </c>
      <c r="S28" s="230">
        <f>'4a.FAnalysis'!AA$19</f>
        <v>26191.696329457209</v>
      </c>
      <c r="T28" s="230">
        <f>'4a.FAnalysis'!AA$20</f>
        <v>2781.0354236967714</v>
      </c>
    </row>
    <row r="29" spans="2:20" x14ac:dyDescent="0.55000000000000004">
      <c r="B29" s="407"/>
      <c r="C29" s="243">
        <v>25</v>
      </c>
      <c r="D29" s="230">
        <f>'4a.FAnalysis'!AB$4</f>
        <v>355341.73499999999</v>
      </c>
      <c r="E29" s="306" t="str">
        <f>'4a.FAnalysis'!AB$5</f>
        <v>--</v>
      </c>
      <c r="F29" s="259">
        <f>'4a.FAnalysis'!AB$6</f>
        <v>355341.73499999999</v>
      </c>
      <c r="G29" s="308" t="s">
        <v>31</v>
      </c>
      <c r="H29" s="236">
        <f>'4a.FAnalysis'!AB$8</f>
        <v>397554.03975</v>
      </c>
      <c r="I29" s="230">
        <f>'4a.FAnalysis'!AB$9</f>
        <v>42212.30475000001</v>
      </c>
      <c r="J29" s="230"/>
      <c r="K29" s="231">
        <f>'4a.FAnalysis'!AB$11</f>
        <v>5.8823306552253637E-2</v>
      </c>
      <c r="L29" s="230"/>
      <c r="M29" s="407"/>
      <c r="N29" s="243">
        <v>25</v>
      </c>
      <c r="O29" s="230">
        <f>'4a.FAnalysis'!AB$15</f>
        <v>20902.375808714674</v>
      </c>
      <c r="P29" s="306" t="str">
        <f>'4a.FAnalysis'!AB$16</f>
        <v>--</v>
      </c>
      <c r="Q29" s="230">
        <f>'4a.FAnalysis'!AB$17</f>
        <v>20902.375808714674</v>
      </c>
      <c r="R29" s="308" t="s">
        <v>31</v>
      </c>
      <c r="S29" s="230">
        <f>'4a.FAnalysis'!AB$19</f>
        <v>23385.443151301079</v>
      </c>
      <c r="T29" s="230">
        <f>'4a.FAnalysis'!AB$20</f>
        <v>2483.0673425864029</v>
      </c>
    </row>
    <row r="30" spans="2:20" x14ac:dyDescent="0.55000000000000004">
      <c r="B30" s="407"/>
      <c r="C30" s="243">
        <v>26</v>
      </c>
      <c r="D30" s="230">
        <f>'4a.FAnalysis'!AC$4</f>
        <v>355341.73499999999</v>
      </c>
      <c r="E30" s="306" t="str">
        <f>'4a.FAnalysis'!AC$5</f>
        <v>--</v>
      </c>
      <c r="F30" s="259">
        <f>'4a.FAnalysis'!AC$6</f>
        <v>355341.73499999999</v>
      </c>
      <c r="G30" s="308" t="s">
        <v>31</v>
      </c>
      <c r="H30" s="236">
        <f>'4a.FAnalysis'!AC$8</f>
        <v>397554.03975</v>
      </c>
      <c r="I30" s="230">
        <f>'4a.FAnalysis'!AC$9</f>
        <v>42212.30475000001</v>
      </c>
      <c r="J30" s="230"/>
      <c r="K30" s="231">
        <f>'4a.FAnalysis'!AC$11</f>
        <v>5.2520809421655032E-2</v>
      </c>
      <c r="L30" s="230"/>
      <c r="M30" s="407"/>
      <c r="N30" s="243">
        <v>26</v>
      </c>
      <c r="O30" s="230">
        <f>'4a.FAnalysis'!AC$15</f>
        <v>18662.835543495246</v>
      </c>
      <c r="P30" s="306" t="str">
        <f>'4a.FAnalysis'!AC$16</f>
        <v>--</v>
      </c>
      <c r="Q30" s="230">
        <f>'4a.FAnalysis'!AC$17</f>
        <v>18662.835543495246</v>
      </c>
      <c r="R30" s="308" t="s">
        <v>31</v>
      </c>
      <c r="S30" s="230">
        <f>'4a.FAnalysis'!AC$19</f>
        <v>20879.85995651882</v>
      </c>
      <c r="T30" s="230">
        <f>'4a.FAnalysis'!AC$20</f>
        <v>2217.0244130235742</v>
      </c>
    </row>
    <row r="31" spans="2:20" x14ac:dyDescent="0.55000000000000004">
      <c r="B31" s="407"/>
      <c r="C31" s="243">
        <v>27</v>
      </c>
      <c r="D31" s="230">
        <f>'4a.FAnalysis'!AD$4</f>
        <v>355341.73499999999</v>
      </c>
      <c r="E31" s="306" t="str">
        <f>'4a.FAnalysis'!AD$5</f>
        <v>--</v>
      </c>
      <c r="F31" s="259">
        <f>'4a.FAnalysis'!AD$6</f>
        <v>355341.73499999999</v>
      </c>
      <c r="G31" s="308" t="s">
        <v>31</v>
      </c>
      <c r="H31" s="236">
        <f>'4a.FAnalysis'!AD$8</f>
        <v>397554.03975</v>
      </c>
      <c r="I31" s="230">
        <f>'4a.FAnalysis'!AD$9</f>
        <v>42212.30475000001</v>
      </c>
      <c r="J31" s="230"/>
      <c r="K31" s="231">
        <f>'4a.FAnalysis'!AD$11</f>
        <v>4.6893579840763415E-2</v>
      </c>
      <c r="L31" s="230"/>
      <c r="M31" s="407"/>
      <c r="N31" s="243">
        <v>27</v>
      </c>
      <c r="O31" s="230">
        <f>'4a.FAnalysis'!AD$15</f>
        <v>16663.246020977895</v>
      </c>
      <c r="P31" s="306" t="str">
        <f>'4a.FAnalysis'!AD$16</f>
        <v>--</v>
      </c>
      <c r="Q31" s="230">
        <f>'4a.FAnalysis'!AD$17</f>
        <v>16663.246020977895</v>
      </c>
      <c r="R31" s="308" t="s">
        <v>31</v>
      </c>
      <c r="S31" s="230">
        <f>'4a.FAnalysis'!AD$19</f>
        <v>18642.732104034658</v>
      </c>
      <c r="T31" s="230">
        <f>'4a.FAnalysis'!AD$20</f>
        <v>1979.4860830567623</v>
      </c>
    </row>
    <row r="32" spans="2:20" x14ac:dyDescent="0.55000000000000004">
      <c r="B32" s="407"/>
      <c r="C32" s="243">
        <v>28</v>
      </c>
      <c r="D32" s="230">
        <f>'4a.FAnalysis'!AE$4</f>
        <v>355341.73499999999</v>
      </c>
      <c r="E32" s="306" t="str">
        <f>'4a.FAnalysis'!AE$5</f>
        <v>--</v>
      </c>
      <c r="F32" s="259">
        <f>'4a.FAnalysis'!AE$6</f>
        <v>355341.73499999999</v>
      </c>
      <c r="G32" s="308" t="s">
        <v>31</v>
      </c>
      <c r="H32" s="236">
        <f>'4a.FAnalysis'!AE$8</f>
        <v>397554.03975</v>
      </c>
      <c r="I32" s="230">
        <f>'4a.FAnalysis'!AE$9</f>
        <v>42212.30475000001</v>
      </c>
      <c r="J32" s="230"/>
      <c r="K32" s="231">
        <f>'4a.FAnalysis'!AE$11</f>
        <v>4.1869267714967337E-2</v>
      </c>
      <c r="L32" s="230"/>
      <c r="M32" s="407"/>
      <c r="N32" s="243">
        <v>28</v>
      </c>
      <c r="O32" s="230">
        <f>'4a.FAnalysis'!AE$15</f>
        <v>14877.898233015978</v>
      </c>
      <c r="P32" s="306" t="str">
        <f>'4a.FAnalysis'!AE$16</f>
        <v>--</v>
      </c>
      <c r="Q32" s="230">
        <f>'4a.FAnalysis'!AE$17</f>
        <v>14877.898233015978</v>
      </c>
      <c r="R32" s="308" t="s">
        <v>31</v>
      </c>
      <c r="S32" s="230">
        <f>'4a.FAnalysis'!AE$19</f>
        <v>16645.296521459517</v>
      </c>
      <c r="T32" s="230">
        <f>'4a.FAnalysis'!AE$20</f>
        <v>1767.3982884435377</v>
      </c>
    </row>
    <row r="33" spans="2:20" x14ac:dyDescent="0.55000000000000004">
      <c r="B33" s="407"/>
      <c r="C33" s="243">
        <v>29</v>
      </c>
      <c r="D33" s="230">
        <f>'4a.FAnalysis'!AF$4</f>
        <v>355341.73499999999</v>
      </c>
      <c r="E33" s="306" t="str">
        <f>'4a.FAnalysis'!AF$5</f>
        <v>--</v>
      </c>
      <c r="F33" s="259">
        <f>'4a.FAnalysis'!AF$6</f>
        <v>355341.73499999999</v>
      </c>
      <c r="G33" s="308" t="s">
        <v>31</v>
      </c>
      <c r="H33" s="236">
        <f>'4a.FAnalysis'!AF$8</f>
        <v>397554.03975</v>
      </c>
      <c r="I33" s="230">
        <f>'4a.FAnalysis'!AF$9</f>
        <v>42212.30475000001</v>
      </c>
      <c r="J33" s="230"/>
      <c r="K33" s="231">
        <f>'4a.FAnalysis'!AF$11</f>
        <v>3.7383274745506546E-2</v>
      </c>
      <c r="L33" s="230"/>
      <c r="M33" s="407"/>
      <c r="N33" s="243">
        <v>29</v>
      </c>
      <c r="O33" s="230">
        <f>'4a.FAnalysis'!AF$15</f>
        <v>13283.837708049979</v>
      </c>
      <c r="P33" s="306" t="str">
        <f>'4a.FAnalysis'!AF$16</f>
        <v>--</v>
      </c>
      <c r="Q33" s="230">
        <f>'4a.FAnalysis'!AF$17</f>
        <v>13283.837708049979</v>
      </c>
      <c r="R33" s="308" t="s">
        <v>31</v>
      </c>
      <c r="S33" s="230">
        <f>'4a.FAnalysis'!AF$19</f>
        <v>14861.87189416028</v>
      </c>
      <c r="T33" s="230">
        <f>'4a.FAnalysis'!AF$20</f>
        <v>1578.0341861103013</v>
      </c>
    </row>
    <row r="34" spans="2:20" x14ac:dyDescent="0.55000000000000004">
      <c r="B34" s="408"/>
      <c r="C34" s="241">
        <v>30</v>
      </c>
      <c r="D34" s="229">
        <f>'4a.FAnalysis'!AG$4</f>
        <v>355341.73499999999</v>
      </c>
      <c r="E34" s="306" t="str">
        <f>'4a.FAnalysis'!AG$5</f>
        <v>--</v>
      </c>
      <c r="F34" s="260">
        <f>'4a.FAnalysis'!AG$6</f>
        <v>355341.73499999999</v>
      </c>
      <c r="G34" s="309" t="s">
        <v>31</v>
      </c>
      <c r="H34" s="238">
        <f>'4a.FAnalysis'!AG$8</f>
        <v>397554.03975</v>
      </c>
      <c r="I34" s="229">
        <f>'4a.FAnalysis'!AG$9</f>
        <v>42682.30475000001</v>
      </c>
      <c r="J34" s="229"/>
      <c r="K34" s="239">
        <f>'4a.FAnalysis'!AG$11</f>
        <v>3.3377923879916553E-2</v>
      </c>
      <c r="L34" s="229"/>
      <c r="M34" s="408"/>
      <c r="N34" s="241">
        <v>30</v>
      </c>
      <c r="O34" s="229">
        <f>'4a.FAnalysis'!AG$15</f>
        <v>11860.569382187479</v>
      </c>
      <c r="P34" s="310" t="str">
        <f>'4a.FAnalysis'!AG$16</f>
        <v>--</v>
      </c>
      <c r="Q34" s="229">
        <f>'4a.FAnalysis'!AG$17</f>
        <v>11860.569382187479</v>
      </c>
      <c r="R34" s="309" t="s">
        <v>31</v>
      </c>
      <c r="S34" s="229">
        <f>'4a.FAnalysis'!AG$19</f>
        <v>13269.528476928819</v>
      </c>
      <c r="T34" s="229">
        <f>'4a.FAnalysis'!AG$20</f>
        <v>1424.6467189649011</v>
      </c>
    </row>
    <row r="35" spans="2:20" x14ac:dyDescent="0.55000000000000004">
      <c r="B35" s="404" t="s">
        <v>30</v>
      </c>
      <c r="C35" s="404"/>
      <c r="D35" s="229"/>
      <c r="E35" s="305"/>
      <c r="F35" s="229"/>
      <c r="G35" s="229">
        <f>'4a.FAnalysis'!AH$7</f>
        <v>-470</v>
      </c>
      <c r="H35" s="229"/>
      <c r="I35" s="229"/>
      <c r="J35" s="229"/>
      <c r="K35" s="229"/>
      <c r="L35" s="229"/>
      <c r="M35" s="404" t="s">
        <v>30</v>
      </c>
      <c r="N35" s="404"/>
      <c r="O35" s="229"/>
      <c r="P35" s="229"/>
      <c r="Q35" s="229"/>
      <c r="R35" s="229">
        <f>'4a.FAnalysis'!AH$18</f>
        <v>-15.68762422356078</v>
      </c>
      <c r="S35" s="229"/>
      <c r="T35" s="229"/>
    </row>
    <row r="37" spans="2:20" x14ac:dyDescent="0.55000000000000004">
      <c r="D37" s="261" t="str">
        <f>'4a.FAnalysis'!B22</f>
        <v>FNPV</v>
      </c>
      <c r="E37" s="245">
        <f>'4a.FAnalysis'!C22</f>
        <v>16122.010506924267</v>
      </c>
      <c r="F37" s="140" t="s">
        <v>114</v>
      </c>
    </row>
    <row r="38" spans="2:20" x14ac:dyDescent="0.55000000000000004">
      <c r="D38" s="261" t="str">
        <f>'4a.FAnalysis'!B23</f>
        <v>FBCR</v>
      </c>
      <c r="E38" s="246">
        <f>'4a.FAnalysis'!C23</f>
        <v>1.0095855764825474</v>
      </c>
    </row>
    <row r="39" spans="2:20" x14ac:dyDescent="0.55000000000000004">
      <c r="D39" s="261" t="str">
        <f>'4a.FAnalysis'!B24</f>
        <v>FIRR</v>
      </c>
      <c r="E39" s="247">
        <f>'4a.FAnalysis'!C24</f>
        <v>0.13047876395441471</v>
      </c>
    </row>
  </sheetData>
  <sheetProtection algorithmName="SHA-512" hashValue="VK+Fzbq4CWhhDC+doXCTgh75eUMmGknlBBXgyz5pzjpHJ227CYdGsTEocS2/cPp7Xy3tlW/eGW/AQLTy9AWy3g==" saltValue="fFQ+mCJ9wXwx+Zls+/2H6Q==" spinCount="100000" sheet="1" objects="1" scenarios="1" autoFilter="0"/>
  <mergeCells count="8">
    <mergeCell ref="B2:I2"/>
    <mergeCell ref="M2:T2"/>
    <mergeCell ref="B35:C35"/>
    <mergeCell ref="B4:C4"/>
    <mergeCell ref="B5:B34"/>
    <mergeCell ref="M4:N4"/>
    <mergeCell ref="M35:N35"/>
    <mergeCell ref="M5:M34"/>
  </mergeCells>
  <phoneticPr fontId="4"/>
  <printOptions horizontalCentered="1"/>
  <pageMargins left="0.7" right="0.7" top="0.75" bottom="0.75" header="0.3" footer="0.3"/>
  <pageSetup paperSize="9" scale="55" orientation="landscape"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F84E4-7ABE-4143-ACC9-F996E67CBA2C}">
  <sheetPr codeName="Sheet8">
    <tabColor theme="5" tint="0.59999389629810485"/>
  </sheetPr>
  <dimension ref="A1:AK53"/>
  <sheetViews>
    <sheetView zoomScale="70" zoomScaleNormal="70" workbookViewId="0">
      <pane xSplit="1" ySplit="1" topLeftCell="B2" activePane="bottomRight" state="frozen"/>
      <selection activeCell="B21" sqref="B21"/>
      <selection pane="topRight" activeCell="B21" sqref="B21"/>
      <selection pane="bottomLeft" activeCell="B21" sqref="B21"/>
      <selection pane="bottomRight" activeCell="B21" sqref="B21"/>
    </sheetView>
  </sheetViews>
  <sheetFormatPr defaultColWidth="8.6640625" defaultRowHeight="18" x14ac:dyDescent="0.55000000000000004"/>
  <cols>
    <col min="1" max="1" width="2.58203125" style="25" customWidth="1"/>
    <col min="2" max="2" width="71.25" style="25" customWidth="1"/>
    <col min="3" max="5" width="8.6640625" style="25" customWidth="1"/>
    <col min="6" max="6" width="4.58203125" style="25" customWidth="1"/>
    <col min="7" max="7" width="70.75" style="25" customWidth="1"/>
    <col min="8" max="10" width="8.6640625" style="25" customWidth="1"/>
    <col min="11" max="16384" width="8.6640625" style="25"/>
  </cols>
  <sheetData>
    <row r="1" spans="1:10" s="27" customFormat="1" ht="20" x14ac:dyDescent="0.6">
      <c r="A1" s="26" t="str">
        <f>"Economic Costs ("&amp;MID('0.Contents'!A1,20,(LEN('0.Contents'!A1)-20))&amp;")"</f>
        <v>Economic Costs (Power Distribution)</v>
      </c>
    </row>
    <row r="2" spans="1:10" ht="20" x14ac:dyDescent="0.6">
      <c r="A2" s="28"/>
      <c r="B2" s="29" t="s">
        <v>21</v>
      </c>
      <c r="C2" s="30"/>
    </row>
    <row r="3" spans="1:10" ht="20" x14ac:dyDescent="0.6">
      <c r="A3" s="28"/>
      <c r="B3" s="29" t="s">
        <v>260</v>
      </c>
      <c r="C3" s="76">
        <f>1/'1.Params_8.Sensitivity'!$D$8</f>
        <v>0.86956521739130443</v>
      </c>
    </row>
    <row r="4" spans="1:10" ht="20" x14ac:dyDescent="0.6">
      <c r="A4" s="28"/>
      <c r="B4" s="193" t="s">
        <v>33</v>
      </c>
      <c r="C4" s="192">
        <f>1/'1.Params_8.Sensitivity'!$D$9</f>
        <v>0.68965517241379315</v>
      </c>
    </row>
    <row r="5" spans="1:10" ht="20" x14ac:dyDescent="0.6">
      <c r="A5" s="28"/>
      <c r="E5" s="352"/>
    </row>
    <row r="6" spans="1:10" ht="20" x14ac:dyDescent="0.6">
      <c r="A6" s="28"/>
      <c r="B6" s="31" t="s">
        <v>15</v>
      </c>
      <c r="G6" s="31" t="s">
        <v>16</v>
      </c>
    </row>
    <row r="7" spans="1:10" ht="54.5" x14ac:dyDescent="0.6">
      <c r="A7" s="28"/>
      <c r="B7" s="32" t="s">
        <v>11</v>
      </c>
      <c r="C7" s="33" t="s">
        <v>27</v>
      </c>
      <c r="D7" s="33" t="s">
        <v>4</v>
      </c>
      <c r="E7" s="34" t="s">
        <v>28</v>
      </c>
      <c r="F7" s="35" t="s">
        <v>17</v>
      </c>
      <c r="G7" s="32" t="s">
        <v>11</v>
      </c>
      <c r="H7" s="33" t="s">
        <v>27</v>
      </c>
      <c r="I7" s="33" t="s">
        <v>4</v>
      </c>
      <c r="J7" s="34" t="s">
        <v>28</v>
      </c>
    </row>
    <row r="8" spans="1:10" x14ac:dyDescent="0.55000000000000004">
      <c r="B8" s="4" t="s">
        <v>5</v>
      </c>
      <c r="C8" s="45">
        <f>SUM('2b.FCosts'!C4:E4)</f>
        <v>0</v>
      </c>
      <c r="D8" s="45">
        <f>'2b.FCosts'!F4</f>
        <v>0</v>
      </c>
      <c r="E8" s="45">
        <f>'2b.FCosts'!G4</f>
        <v>0</v>
      </c>
      <c r="G8" s="29" t="s">
        <v>242</v>
      </c>
      <c r="H8" s="45">
        <f>C8*$C$3</f>
        <v>0</v>
      </c>
      <c r="I8" s="45">
        <f>D8</f>
        <v>0</v>
      </c>
      <c r="J8" s="45">
        <f>H8+I8*'1.Params_8.Sensitivity'!$D$15</f>
        <v>0</v>
      </c>
    </row>
    <row r="9" spans="1:10" x14ac:dyDescent="0.55000000000000004">
      <c r="B9" s="4" t="s">
        <v>6</v>
      </c>
      <c r="C9" s="45">
        <f>SUM('2b.FCosts'!C5:E5)</f>
        <v>0</v>
      </c>
      <c r="D9" s="45">
        <f>'2b.FCosts'!F5</f>
        <v>0</v>
      </c>
      <c r="E9" s="45">
        <f>'2b.FCosts'!G5</f>
        <v>0</v>
      </c>
      <c r="G9" s="4" t="s">
        <v>6</v>
      </c>
      <c r="H9" s="45">
        <f>SUM(H10:H11)</f>
        <v>0</v>
      </c>
      <c r="I9" s="45">
        <f t="shared" ref="I9:J9" si="0">SUM(I10:I11)</f>
        <v>0</v>
      </c>
      <c r="J9" s="45">
        <f t="shared" si="0"/>
        <v>0</v>
      </c>
    </row>
    <row r="10" spans="1:10" x14ac:dyDescent="0.55000000000000004">
      <c r="B10" s="4" t="s">
        <v>9</v>
      </c>
      <c r="C10" s="45">
        <f>SUM('2b.FCosts'!C6:E6)</f>
        <v>0</v>
      </c>
      <c r="D10" s="45">
        <f>'2b.FCosts'!F6</f>
        <v>0</v>
      </c>
      <c r="E10" s="45">
        <f>'2b.FCosts'!G6</f>
        <v>0</v>
      </c>
      <c r="G10" s="4" t="s">
        <v>236</v>
      </c>
      <c r="H10" s="45">
        <f t="shared" ref="H10:H13" si="1">C10*$C$3</f>
        <v>0</v>
      </c>
      <c r="I10" s="45">
        <f t="shared" ref="I10:I14" si="2">D10</f>
        <v>0</v>
      </c>
      <c r="J10" s="45">
        <f>H10+I10*'1.Params_8.Sensitivity'!$D$15</f>
        <v>0</v>
      </c>
    </row>
    <row r="11" spans="1:10" x14ac:dyDescent="0.55000000000000004">
      <c r="B11" s="4" t="s">
        <v>10</v>
      </c>
      <c r="C11" s="45">
        <f>SUM('2b.FCosts'!C7:E7)</f>
        <v>0</v>
      </c>
      <c r="D11" s="45">
        <f>'2b.FCosts'!F7</f>
        <v>0</v>
      </c>
      <c r="E11" s="45">
        <f>'2b.FCosts'!G7</f>
        <v>0</v>
      </c>
      <c r="G11" s="4" t="s">
        <v>243</v>
      </c>
      <c r="H11" s="45">
        <f>C11*$C$4</f>
        <v>0</v>
      </c>
      <c r="I11" s="45">
        <f t="shared" si="2"/>
        <v>0</v>
      </c>
      <c r="J11" s="45">
        <f>H11+I11*'1.Params_8.Sensitivity'!$D$15</f>
        <v>0</v>
      </c>
    </row>
    <row r="12" spans="1:10" x14ac:dyDescent="0.55000000000000004">
      <c r="B12" s="4" t="s">
        <v>7</v>
      </c>
      <c r="C12" s="45">
        <f>SUM('2b.FCosts'!C8:E8)</f>
        <v>0</v>
      </c>
      <c r="D12" s="45">
        <f>'2b.FCosts'!F8</f>
        <v>0</v>
      </c>
      <c r="E12" s="45">
        <f>'2b.FCosts'!G8</f>
        <v>0</v>
      </c>
      <c r="G12" s="4" t="s">
        <v>237</v>
      </c>
      <c r="H12" s="45">
        <f t="shared" si="1"/>
        <v>0</v>
      </c>
      <c r="I12" s="45">
        <f t="shared" si="2"/>
        <v>0</v>
      </c>
      <c r="J12" s="45">
        <f>H12+I12*'1.Params_8.Sensitivity'!$D$15</f>
        <v>0</v>
      </c>
    </row>
    <row r="13" spans="1:10" x14ac:dyDescent="0.55000000000000004">
      <c r="B13" s="4" t="s">
        <v>188</v>
      </c>
      <c r="C13" s="45">
        <f>SUM('2b.FCosts'!C9:E9)</f>
        <v>0</v>
      </c>
      <c r="D13" s="45">
        <f>'2b.FCosts'!F9</f>
        <v>0</v>
      </c>
      <c r="E13" s="45">
        <f>'2b.FCosts'!G9</f>
        <v>0</v>
      </c>
      <c r="G13" s="4" t="s">
        <v>238</v>
      </c>
      <c r="H13" s="45">
        <f t="shared" si="1"/>
        <v>0</v>
      </c>
      <c r="I13" s="45">
        <f t="shared" si="2"/>
        <v>0</v>
      </c>
      <c r="J13" s="45">
        <f>H13+I13*'1.Params_8.Sensitivity'!$D$15</f>
        <v>0</v>
      </c>
    </row>
    <row r="14" spans="1:10" x14ac:dyDescent="0.55000000000000004">
      <c r="B14" s="4" t="s">
        <v>8</v>
      </c>
      <c r="C14" s="45">
        <f>SUM('2b.FCosts'!C10:E10)</f>
        <v>0</v>
      </c>
      <c r="D14" s="45">
        <f>'2b.FCosts'!F10</f>
        <v>0</v>
      </c>
      <c r="E14" s="45">
        <f>'2b.FCosts'!G10</f>
        <v>0</v>
      </c>
      <c r="G14" s="4" t="s">
        <v>239</v>
      </c>
      <c r="H14" s="45">
        <f>C14*$C$3</f>
        <v>0</v>
      </c>
      <c r="I14" s="45">
        <f t="shared" si="2"/>
        <v>0</v>
      </c>
      <c r="J14" s="45">
        <f>H14+I14*'1.Params_8.Sensitivity'!$D$15</f>
        <v>0</v>
      </c>
    </row>
    <row r="15" spans="1:10" x14ac:dyDescent="0.55000000000000004">
      <c r="B15" s="9" t="s">
        <v>32</v>
      </c>
      <c r="C15" s="46">
        <f>SUM('2b.FCosts'!C11:E11)</f>
        <v>0</v>
      </c>
      <c r="D15" s="46">
        <f>'2b.FCosts'!F11</f>
        <v>0</v>
      </c>
      <c r="E15" s="46">
        <f>'2b.FCosts'!G11</f>
        <v>0</v>
      </c>
      <c r="G15" s="183" t="s">
        <v>32</v>
      </c>
      <c r="H15" s="184" t="s">
        <v>31</v>
      </c>
      <c r="I15" s="184" t="s">
        <v>31</v>
      </c>
      <c r="J15" s="184" t="s">
        <v>31</v>
      </c>
    </row>
    <row r="16" spans="1:10" x14ac:dyDescent="0.55000000000000004">
      <c r="B16" s="179" t="s">
        <v>223</v>
      </c>
      <c r="C16" s="45">
        <f>SUM('2b.FCosts'!C12:E12)</f>
        <v>0</v>
      </c>
      <c r="D16" s="45">
        <f>'2b.FCosts'!F12</f>
        <v>0</v>
      </c>
      <c r="E16" s="45">
        <f>'2b.FCosts'!G12</f>
        <v>0</v>
      </c>
      <c r="G16" s="179" t="s">
        <v>241</v>
      </c>
      <c r="H16" s="47">
        <f>SUM(H8:H14)</f>
        <v>0</v>
      </c>
      <c r="I16" s="47">
        <f>SUM(I8:I14)</f>
        <v>0</v>
      </c>
      <c r="J16" s="47">
        <f>SUM(J8:J14)</f>
        <v>0</v>
      </c>
    </row>
    <row r="17" spans="2:13" x14ac:dyDescent="0.55000000000000004">
      <c r="B17" s="4" t="str">
        <f>"Physical Contingency ("&amp;TEXT('1.Params_8.Sensitivity'!D3,"0%")&amp;")"</f>
        <v>Physical Contingency (2%)</v>
      </c>
      <c r="C17" s="47">
        <f>SUM('2b.FCosts'!C13:E13)</f>
        <v>0</v>
      </c>
      <c r="D17" s="47">
        <f>'2b.FCosts'!F13</f>
        <v>0</v>
      </c>
      <c r="E17" s="47">
        <f>'2b.FCosts'!G13</f>
        <v>0</v>
      </c>
      <c r="G17" s="4" t="s">
        <v>240</v>
      </c>
      <c r="H17" s="47">
        <f>C17*$C$3</f>
        <v>0</v>
      </c>
      <c r="I17" s="295">
        <f>D17</f>
        <v>0</v>
      </c>
      <c r="J17" s="295">
        <f>H17+I17*'1.Params_8.Sensitivity'!$D$15</f>
        <v>0</v>
      </c>
    </row>
    <row r="18" spans="2:13" x14ac:dyDescent="0.55000000000000004">
      <c r="B18" s="180" t="str">
        <f>_xlfn.CONCAT("Price Contingency, Local currency ("&amp;TEXT('1.Params_8.Sensitivity'!D4,"0%")&amp;")"," / Foreign currency ("&amp;TEXT('1.Params_8.Sensitivity'!D5,"0%")&amp;")")</f>
        <v>Price Contingency, Local currency (5%) / Foreign currency (5%)</v>
      </c>
      <c r="C18" s="48">
        <f>SUM('2b.FCosts'!C14:E14)</f>
        <v>0</v>
      </c>
      <c r="D18" s="48">
        <f>'2b.FCosts'!F14</f>
        <v>0</v>
      </c>
      <c r="E18" s="48">
        <f>'2b.FCosts'!G14</f>
        <v>0</v>
      </c>
      <c r="G18" s="182" t="s">
        <v>25</v>
      </c>
      <c r="H18" s="294" t="s">
        <v>31</v>
      </c>
      <c r="I18" s="294" t="s">
        <v>31</v>
      </c>
      <c r="J18" s="294" t="s">
        <v>31</v>
      </c>
    </row>
    <row r="19" spans="2:13" x14ac:dyDescent="0.55000000000000004">
      <c r="B19" s="179" t="s">
        <v>228</v>
      </c>
      <c r="C19" s="45">
        <f>SUM('2b.FCosts'!C15:E15)</f>
        <v>0</v>
      </c>
      <c r="D19" s="45">
        <f>'2b.FCosts'!F15</f>
        <v>0</v>
      </c>
      <c r="E19" s="45">
        <f>'2b.FCosts'!G15</f>
        <v>0</v>
      </c>
      <c r="G19" s="296" t="s">
        <v>228</v>
      </c>
      <c r="H19" s="294" t="s">
        <v>31</v>
      </c>
      <c r="I19" s="294" t="s">
        <v>31</v>
      </c>
      <c r="J19" s="294" t="s">
        <v>31</v>
      </c>
      <c r="K19" s="140"/>
    </row>
    <row r="20" spans="2:13" x14ac:dyDescent="0.55000000000000004">
      <c r="B20" s="179" t="s">
        <v>231</v>
      </c>
      <c r="C20" s="46">
        <f>SUM('2b.FCosts'!C16:E16)</f>
        <v>0</v>
      </c>
      <c r="D20" s="46">
        <f>'2b.FCosts'!F16</f>
        <v>0</v>
      </c>
      <c r="E20" s="46">
        <f>'2b.FCosts'!G16</f>
        <v>0</v>
      </c>
      <c r="G20" s="179" t="s">
        <v>233</v>
      </c>
      <c r="H20" s="46">
        <f>H16+H17</f>
        <v>0</v>
      </c>
      <c r="I20" s="46">
        <f>I16+I17</f>
        <v>0</v>
      </c>
      <c r="J20" s="71">
        <f>J16+J17</f>
        <v>0</v>
      </c>
      <c r="K20" s="140" t="s">
        <v>114</v>
      </c>
    </row>
    <row r="21" spans="2:13" ht="18.5" thickBot="1" x14ac:dyDescent="0.6">
      <c r="B21" s="72"/>
      <c r="C21" s="45"/>
      <c r="D21" s="45"/>
      <c r="E21" s="45"/>
      <c r="G21" s="72"/>
      <c r="H21" s="45"/>
      <c r="I21" s="45"/>
      <c r="J21" s="45"/>
    </row>
    <row r="22" spans="2:13" x14ac:dyDescent="0.55000000000000004">
      <c r="B22" s="271" t="s">
        <v>234</v>
      </c>
      <c r="C22" s="291" t="s">
        <v>235</v>
      </c>
      <c r="D22" s="291" t="s">
        <v>227</v>
      </c>
      <c r="E22" s="292" t="s">
        <v>24</v>
      </c>
      <c r="G22" s="271" t="s">
        <v>234</v>
      </c>
      <c r="H22" s="288" t="s">
        <v>235</v>
      </c>
      <c r="I22" s="288" t="s">
        <v>227</v>
      </c>
      <c r="J22" s="289" t="s">
        <v>24</v>
      </c>
    </row>
    <row r="23" spans="2:13" x14ac:dyDescent="0.55000000000000004">
      <c r="B23" s="275" t="s">
        <v>32</v>
      </c>
      <c r="C23" s="45">
        <f>SUM('2b.FCosts'!C19:E19)</f>
        <v>0</v>
      </c>
      <c r="D23" s="45">
        <f>'2b.FCosts'!F19</f>
        <v>0</v>
      </c>
      <c r="E23" s="286">
        <f>'2b.FCosts'!G19</f>
        <v>0</v>
      </c>
      <c r="G23" s="275" t="s">
        <v>32</v>
      </c>
      <c r="H23" s="184" t="s">
        <v>31</v>
      </c>
      <c r="I23" s="184" t="s">
        <v>31</v>
      </c>
      <c r="J23" s="297" t="s">
        <v>31</v>
      </c>
    </row>
    <row r="24" spans="2:13" x14ac:dyDescent="0.55000000000000004">
      <c r="B24" s="277" t="s">
        <v>223</v>
      </c>
      <c r="C24" s="46">
        <f>SUM('2b.FCosts'!C20:E20)</f>
        <v>222293.80445688564</v>
      </c>
      <c r="D24" s="46">
        <f>'2b.FCosts'!F20</f>
        <v>0</v>
      </c>
      <c r="E24" s="290">
        <f>'2b.FCosts'!G20</f>
        <v>222293.80445688564</v>
      </c>
      <c r="G24" s="277" t="s">
        <v>241</v>
      </c>
      <c r="H24" s="298">
        <f>(C24-C23)*$C$3</f>
        <v>193298.96039729187</v>
      </c>
      <c r="I24" s="45">
        <f>D24-D23</f>
        <v>0</v>
      </c>
      <c r="J24" s="299">
        <f>H24+I24*'1.Params_8.Sensitivity'!$D$15</f>
        <v>193298.96039729187</v>
      </c>
    </row>
    <row r="25" spans="2:13" x14ac:dyDescent="0.55000000000000004">
      <c r="B25" s="278" t="s">
        <v>26</v>
      </c>
      <c r="C25" s="45">
        <f>SUM('2b.FCosts'!C21:E21)</f>
        <v>4445.8760891377133</v>
      </c>
      <c r="D25" s="45">
        <f>'2b.FCosts'!F21</f>
        <v>0</v>
      </c>
      <c r="E25" s="286">
        <f>'2b.FCosts'!G21</f>
        <v>4445.8760891377133</v>
      </c>
      <c r="G25" s="278" t="s">
        <v>26</v>
      </c>
      <c r="H25" s="47">
        <f>C25*$C$3</f>
        <v>3865.979207945838</v>
      </c>
      <c r="I25" s="47">
        <f>D25</f>
        <v>0</v>
      </c>
      <c r="J25" s="293">
        <f>H25+I25*'1.Params_8.Sensitivity'!$D$15</f>
        <v>3865.979207945838</v>
      </c>
    </row>
    <row r="26" spans="2:13" x14ac:dyDescent="0.55000000000000004">
      <c r="B26" s="280" t="s">
        <v>25</v>
      </c>
      <c r="C26" s="45">
        <f>SUM('2b.FCosts'!C22:E22)</f>
        <v>11114.690222844281</v>
      </c>
      <c r="D26" s="45">
        <f>'2b.FCosts'!F22</f>
        <v>0</v>
      </c>
      <c r="E26" s="286">
        <f>'2b.FCosts'!G22</f>
        <v>11114.690222844281</v>
      </c>
      <c r="G26" s="300" t="s">
        <v>25</v>
      </c>
      <c r="H26" s="294" t="s">
        <v>31</v>
      </c>
      <c r="I26" s="294" t="s">
        <v>31</v>
      </c>
      <c r="J26" s="301" t="s">
        <v>31</v>
      </c>
    </row>
    <row r="27" spans="2:13" x14ac:dyDescent="0.55000000000000004">
      <c r="B27" s="277" t="s">
        <v>228</v>
      </c>
      <c r="C27" s="46">
        <f>SUM('2b.FCosts'!C23:E23)</f>
        <v>237854.37076886761</v>
      </c>
      <c r="D27" s="46">
        <f>'2b.FCosts'!F23</f>
        <v>0</v>
      </c>
      <c r="E27" s="290">
        <f>'2b.FCosts'!G23</f>
        <v>237854.37076886761</v>
      </c>
      <c r="G27" s="302" t="s">
        <v>228</v>
      </c>
      <c r="H27" s="184" t="s">
        <v>31</v>
      </c>
      <c r="I27" s="184" t="s">
        <v>31</v>
      </c>
      <c r="J27" s="297" t="s">
        <v>31</v>
      </c>
    </row>
    <row r="28" spans="2:13" ht="18.5" thickBot="1" x14ac:dyDescent="0.6">
      <c r="B28" s="282" t="s">
        <v>229</v>
      </c>
      <c r="C28" s="287">
        <f>SUM('2b.FCosts'!C24:E24)</f>
        <v>226739.68054602333</v>
      </c>
      <c r="D28" s="287">
        <f>'2b.FCosts'!F24</f>
        <v>0</v>
      </c>
      <c r="E28" s="314">
        <f>'2b.FCosts'!G24</f>
        <v>226739.68054602333</v>
      </c>
      <c r="G28" s="282" t="s">
        <v>233</v>
      </c>
      <c r="H28" s="287">
        <f>H24+H25</f>
        <v>197164.93960523771</v>
      </c>
      <c r="I28" s="287">
        <f>I24+I25</f>
        <v>0</v>
      </c>
      <c r="J28" s="303">
        <f>J24+J25</f>
        <v>197164.93960523771</v>
      </c>
      <c r="K28" s="140" t="s">
        <v>114</v>
      </c>
    </row>
    <row r="29" spans="2:13" x14ac:dyDescent="0.55000000000000004">
      <c r="B29" s="72"/>
      <c r="C29" s="45"/>
      <c r="D29" s="45"/>
      <c r="E29" s="45"/>
      <c r="G29" s="72"/>
      <c r="H29" s="45"/>
      <c r="I29" s="45"/>
      <c r="J29" s="45"/>
    </row>
    <row r="30" spans="2:13" x14ac:dyDescent="0.55000000000000004">
      <c r="B30" s="72"/>
      <c r="C30" s="45"/>
      <c r="D30" s="45"/>
      <c r="E30" s="45"/>
      <c r="G30" s="9"/>
      <c r="H30" s="14">
        <v>1</v>
      </c>
      <c r="I30" s="12">
        <v>2</v>
      </c>
      <c r="J30" s="14">
        <v>3</v>
      </c>
      <c r="K30" s="12">
        <v>4</v>
      </c>
      <c r="L30" s="14">
        <v>5</v>
      </c>
      <c r="M30" s="7" t="s">
        <v>24</v>
      </c>
    </row>
    <row r="31" spans="2:13" x14ac:dyDescent="0.55000000000000004">
      <c r="B31" s="72"/>
      <c r="C31" s="45"/>
      <c r="D31" s="45"/>
      <c r="E31" s="45"/>
      <c r="G31" s="17" t="s">
        <v>244</v>
      </c>
      <c r="H31" s="185">
        <f>'2b.FCosts'!C27</f>
        <v>5.4244025507332941E-3</v>
      </c>
      <c r="I31" s="185">
        <f>'2b.FCosts'!D27</f>
        <v>0.35558790725857298</v>
      </c>
      <c r="J31" s="185">
        <f>'2b.FCosts'!E27</f>
        <v>0.39541285141300275</v>
      </c>
      <c r="K31" s="185">
        <f>'2b.FCosts'!F27</f>
        <v>0.23734243003174219</v>
      </c>
      <c r="L31" s="185">
        <f>'2b.FCosts'!G27</f>
        <v>6.2324087459486735E-3</v>
      </c>
      <c r="M31" s="73">
        <f>SUM(H31:L31)</f>
        <v>0.99999999999999978</v>
      </c>
    </row>
    <row r="32" spans="2:13" x14ac:dyDescent="0.55000000000000004">
      <c r="B32" s="72"/>
      <c r="C32" s="45"/>
      <c r="D32" s="45"/>
      <c r="E32" s="45"/>
      <c r="G32" s="64" t="s">
        <v>29</v>
      </c>
      <c r="H32" s="51">
        <f>$J$28*H$31</f>
        <v>1069.5020013098274</v>
      </c>
      <c r="I32" s="51">
        <f>$J$28*I$31</f>
        <v>70109.468258989407</v>
      </c>
      <c r="J32" s="51">
        <f>$J$28*J$31</f>
        <v>77961.550967979521</v>
      </c>
      <c r="K32" s="51">
        <f>$J$28*K$31</f>
        <v>46795.605882968805</v>
      </c>
      <c r="L32" s="51">
        <f>$J$28*L$31</f>
        <v>1228.8124939901256</v>
      </c>
      <c r="M32" s="59">
        <f>SUM(H32:L32)</f>
        <v>197164.93960523768</v>
      </c>
    </row>
    <row r="33" spans="1:13" x14ac:dyDescent="0.55000000000000004">
      <c r="B33" s="72"/>
      <c r="C33" s="45"/>
      <c r="D33" s="45"/>
      <c r="E33" s="45"/>
      <c r="G33" s="23"/>
      <c r="H33" s="57"/>
      <c r="I33" s="57"/>
      <c r="J33" s="57"/>
      <c r="K33" s="57"/>
      <c r="L33" s="57"/>
      <c r="M33" s="58"/>
    </row>
    <row r="34" spans="1:13" x14ac:dyDescent="0.55000000000000004">
      <c r="B34" s="72"/>
      <c r="C34" s="45"/>
      <c r="D34" s="45"/>
      <c r="E34" s="45"/>
      <c r="G34" s="23"/>
      <c r="H34" s="57"/>
      <c r="I34" s="57"/>
      <c r="J34" s="57"/>
      <c r="K34" s="57"/>
      <c r="L34" s="57"/>
      <c r="M34" s="58"/>
    </row>
    <row r="35" spans="1:13" x14ac:dyDescent="0.55000000000000004">
      <c r="B35" s="31" t="s">
        <v>15</v>
      </c>
      <c r="G35" s="31" t="s">
        <v>16</v>
      </c>
      <c r="H35" s="57"/>
      <c r="I35" s="57"/>
      <c r="J35" s="57"/>
      <c r="K35" s="57"/>
      <c r="L35" s="57"/>
      <c r="M35" s="58"/>
    </row>
    <row r="36" spans="1:13" ht="29" x14ac:dyDescent="0.55000000000000004">
      <c r="B36" s="7" t="s">
        <v>11</v>
      </c>
      <c r="C36" s="9"/>
      <c r="D36" s="45"/>
      <c r="E36" s="45"/>
      <c r="F36" s="35" t="s">
        <v>17</v>
      </c>
      <c r="G36" s="7" t="s">
        <v>11</v>
      </c>
      <c r="H36" s="9"/>
      <c r="I36" s="57"/>
      <c r="J36" s="57"/>
      <c r="K36" s="57"/>
      <c r="L36" s="57"/>
      <c r="M36" s="58"/>
    </row>
    <row r="37" spans="1:13" x14ac:dyDescent="0.55000000000000004">
      <c r="B37" s="15" t="s">
        <v>12</v>
      </c>
      <c r="C37" s="63">
        <f>'2b.FCosts'!$C$41</f>
        <v>470</v>
      </c>
      <c r="D37" s="45"/>
      <c r="E37" s="45"/>
      <c r="G37" s="15" t="s">
        <v>147</v>
      </c>
      <c r="H37" s="126">
        <f>C37*$C$3</f>
        <v>408.69565217391306</v>
      </c>
      <c r="I37" s="140" t="s">
        <v>114</v>
      </c>
      <c r="J37" s="57"/>
      <c r="K37" s="57"/>
      <c r="L37" s="57"/>
      <c r="M37" s="58"/>
    </row>
    <row r="40" spans="1:13" ht="20" x14ac:dyDescent="0.6">
      <c r="A40" s="28"/>
      <c r="B40" s="31" t="s">
        <v>15</v>
      </c>
      <c r="G40" s="31" t="s">
        <v>16</v>
      </c>
    </row>
    <row r="41" spans="1:13" ht="54" x14ac:dyDescent="0.55000000000000004">
      <c r="B41" s="32" t="s">
        <v>11</v>
      </c>
      <c r="C41" s="33" t="s">
        <v>27</v>
      </c>
      <c r="D41" s="33" t="s">
        <v>4</v>
      </c>
      <c r="E41" s="34" t="s">
        <v>28</v>
      </c>
      <c r="F41" s="35" t="s">
        <v>17</v>
      </c>
      <c r="G41" s="32" t="s">
        <v>11</v>
      </c>
      <c r="H41" s="33" t="s">
        <v>27</v>
      </c>
      <c r="I41" s="33" t="s">
        <v>4</v>
      </c>
      <c r="J41" s="34" t="s">
        <v>28</v>
      </c>
    </row>
    <row r="42" spans="1:13" ht="17.5" customHeight="1" x14ac:dyDescent="0.55000000000000004">
      <c r="B42" s="16" t="s">
        <v>251</v>
      </c>
      <c r="C42" s="89">
        <f>'2b.FCosts'!C45</f>
        <v>351823.5</v>
      </c>
      <c r="D42" s="45">
        <f>'2b.FCosts'!D45</f>
        <v>0</v>
      </c>
      <c r="E42" s="89">
        <f>'2b.FCosts'!$E$45</f>
        <v>351823.5</v>
      </c>
      <c r="F42" s="35"/>
      <c r="G42" s="16" t="s">
        <v>254</v>
      </c>
      <c r="H42" s="45">
        <f>C42*$C$3</f>
        <v>305933.47826086957</v>
      </c>
      <c r="I42" s="45">
        <f>D42</f>
        <v>0</v>
      </c>
      <c r="J42" s="49">
        <f>H42+I42*'1.Params_8.Sensitivity'!$D$15</f>
        <v>305933.47826086957</v>
      </c>
    </row>
    <row r="43" spans="1:13" x14ac:dyDescent="0.55000000000000004">
      <c r="B43" s="37" t="s">
        <v>14</v>
      </c>
      <c r="C43" s="45">
        <f>'2b.FCosts'!C46</f>
        <v>3518.2350000000001</v>
      </c>
      <c r="D43" s="45">
        <f>'2b.FCosts'!D46</f>
        <v>0</v>
      </c>
      <c r="E43" s="45">
        <f>'2b.FCosts'!$E$46</f>
        <v>3518.2350000000001</v>
      </c>
      <c r="G43" s="37" t="s">
        <v>255</v>
      </c>
      <c r="H43" s="45">
        <f>C43*$C$3</f>
        <v>3059.3347826086961</v>
      </c>
      <c r="I43" s="45">
        <f>D43</f>
        <v>0</v>
      </c>
      <c r="J43" s="49">
        <f>H43+I43*'1.Params_8.Sensitivity'!$D$15</f>
        <v>3059.3347826086961</v>
      </c>
    </row>
    <row r="44" spans="1:13" x14ac:dyDescent="0.55000000000000004">
      <c r="B44" s="29" t="s">
        <v>6</v>
      </c>
      <c r="C44" s="45">
        <f>'2b.FCosts'!C47</f>
        <v>0</v>
      </c>
      <c r="D44" s="45">
        <f>'2b.FCosts'!D47</f>
        <v>0</v>
      </c>
      <c r="E44" s="45">
        <f>'2b.FCosts'!$E$47</f>
        <v>0</v>
      </c>
      <c r="G44" s="29" t="s">
        <v>6</v>
      </c>
      <c r="H44" s="45">
        <f>SUM(H45:H46)</f>
        <v>0</v>
      </c>
      <c r="I44" s="45">
        <f t="shared" ref="I44:J44" si="3">SUM(I45:I46)</f>
        <v>0</v>
      </c>
      <c r="J44" s="45">
        <f t="shared" si="3"/>
        <v>0</v>
      </c>
    </row>
    <row r="45" spans="1:13" x14ac:dyDescent="0.55000000000000004">
      <c r="B45" s="29" t="s">
        <v>9</v>
      </c>
      <c r="C45" s="45">
        <f>'2b.FCosts'!C48</f>
        <v>0</v>
      </c>
      <c r="D45" s="45">
        <f>'2b.FCosts'!D48</f>
        <v>0</v>
      </c>
      <c r="E45" s="45">
        <f>'2b.FCosts'!$E$48</f>
        <v>0</v>
      </c>
      <c r="G45" s="29" t="s">
        <v>236</v>
      </c>
      <c r="H45" s="45">
        <f>C45*$C$3</f>
        <v>0</v>
      </c>
      <c r="I45" s="45">
        <f t="shared" ref="I45:I48" si="4">D45</f>
        <v>0</v>
      </c>
      <c r="J45" s="49">
        <f>H45+I45*'1.Params_8.Sensitivity'!$D$15</f>
        <v>0</v>
      </c>
    </row>
    <row r="46" spans="1:13" x14ac:dyDescent="0.55000000000000004">
      <c r="B46" s="29" t="s">
        <v>10</v>
      </c>
      <c r="C46" s="45">
        <f>'2b.FCosts'!C49</f>
        <v>0</v>
      </c>
      <c r="D46" s="45">
        <f>'2b.FCosts'!D49</f>
        <v>0</v>
      </c>
      <c r="E46" s="45">
        <f>'2b.FCosts'!$E$49</f>
        <v>0</v>
      </c>
      <c r="G46" s="29" t="s">
        <v>257</v>
      </c>
      <c r="H46" s="45">
        <f>C46*$C$4</f>
        <v>0</v>
      </c>
      <c r="I46" s="45">
        <f t="shared" si="4"/>
        <v>0</v>
      </c>
      <c r="J46" s="49">
        <f>H46+I46*'1.Params_8.Sensitivity'!$D$15</f>
        <v>0</v>
      </c>
    </row>
    <row r="47" spans="1:13" x14ac:dyDescent="0.55000000000000004">
      <c r="B47" s="29" t="s">
        <v>13</v>
      </c>
      <c r="C47" s="45">
        <f>'2b.FCosts'!C50</f>
        <v>0</v>
      </c>
      <c r="D47" s="45">
        <f>'2b.FCosts'!D50</f>
        <v>0</v>
      </c>
      <c r="E47" s="45">
        <f>'2b.FCosts'!$E$50</f>
        <v>0</v>
      </c>
      <c r="G47" s="29" t="s">
        <v>256</v>
      </c>
      <c r="H47" s="45">
        <f>C47*$C$3</f>
        <v>0</v>
      </c>
      <c r="I47" s="45">
        <f t="shared" si="4"/>
        <v>0</v>
      </c>
      <c r="J47" s="49">
        <f>H47+I47*'1.Params_8.Sensitivity'!$D$15</f>
        <v>0</v>
      </c>
    </row>
    <row r="48" spans="1:13" x14ac:dyDescent="0.55000000000000004">
      <c r="B48" s="29" t="s">
        <v>8</v>
      </c>
      <c r="C48" s="45">
        <f>'2b.FCosts'!C51</f>
        <v>0</v>
      </c>
      <c r="D48" s="45">
        <f>'2b.FCosts'!D51</f>
        <v>0</v>
      </c>
      <c r="E48" s="45">
        <f>'2b.FCosts'!$E$51</f>
        <v>0</v>
      </c>
      <c r="G48" s="29" t="s">
        <v>239</v>
      </c>
      <c r="H48" s="45">
        <f>C48*$C$3</f>
        <v>0</v>
      </c>
      <c r="I48" s="45">
        <f t="shared" si="4"/>
        <v>0</v>
      </c>
      <c r="J48" s="49">
        <f>H48+I48*'1.Params_8.Sensitivity'!$D$15</f>
        <v>0</v>
      </c>
    </row>
    <row r="49" spans="2:37" x14ac:dyDescent="0.55000000000000004">
      <c r="B49" s="36" t="s">
        <v>175</v>
      </c>
      <c r="C49" s="46">
        <f>'2b.FCosts'!C52</f>
        <v>355341.73499999999</v>
      </c>
      <c r="D49" s="46">
        <f>'2b.FCosts'!D52</f>
        <v>0</v>
      </c>
      <c r="E49" s="71">
        <f>'2b.FCosts'!$E$52</f>
        <v>355341.73499999999</v>
      </c>
      <c r="G49" s="36" t="s">
        <v>175</v>
      </c>
      <c r="H49" s="50">
        <f>SUM(H42:H44,H47:H48)</f>
        <v>308992.81304347824</v>
      </c>
      <c r="I49" s="50">
        <f t="shared" ref="I49:J49" si="5">SUM(I42:I44,I47:I48)</f>
        <v>0</v>
      </c>
      <c r="J49" s="126">
        <f t="shared" si="5"/>
        <v>308992.81304347824</v>
      </c>
      <c r="K49" s="140" t="s">
        <v>114</v>
      </c>
    </row>
    <row r="50" spans="2:37" x14ac:dyDescent="0.55000000000000004">
      <c r="C50" s="38"/>
      <c r="D50" s="38"/>
      <c r="E50" s="38"/>
    </row>
    <row r="51" spans="2:37" x14ac:dyDescent="0.55000000000000004">
      <c r="G51" s="9"/>
      <c r="H51" s="65">
        <v>1</v>
      </c>
      <c r="I51" s="7">
        <v>2</v>
      </c>
      <c r="J51" s="65">
        <v>3</v>
      </c>
      <c r="K51" s="7">
        <v>4</v>
      </c>
      <c r="L51" s="65">
        <v>5</v>
      </c>
      <c r="M51" s="86">
        <v>6</v>
      </c>
      <c r="N51" s="87">
        <v>7</v>
      </c>
      <c r="O51" s="86">
        <v>8</v>
      </c>
      <c r="P51" s="87">
        <v>9</v>
      </c>
      <c r="Q51" s="86">
        <v>10</v>
      </c>
      <c r="R51" s="87">
        <v>11</v>
      </c>
      <c r="S51" s="86">
        <v>12</v>
      </c>
      <c r="T51" s="87">
        <v>13</v>
      </c>
      <c r="U51" s="86">
        <v>14</v>
      </c>
      <c r="V51" s="87">
        <v>15</v>
      </c>
      <c r="W51" s="86">
        <v>16</v>
      </c>
      <c r="X51" s="87">
        <v>17</v>
      </c>
      <c r="Y51" s="86">
        <v>18</v>
      </c>
      <c r="Z51" s="87">
        <v>19</v>
      </c>
      <c r="AA51" s="86">
        <v>20</v>
      </c>
      <c r="AB51" s="87">
        <v>21</v>
      </c>
      <c r="AC51" s="86">
        <v>22</v>
      </c>
      <c r="AD51" s="87">
        <v>23</v>
      </c>
      <c r="AE51" s="86">
        <v>24</v>
      </c>
      <c r="AF51" s="87">
        <v>25</v>
      </c>
      <c r="AG51" s="86">
        <v>26</v>
      </c>
      <c r="AH51" s="87">
        <v>27</v>
      </c>
      <c r="AI51" s="86">
        <v>28</v>
      </c>
      <c r="AJ51" s="87">
        <v>29</v>
      </c>
      <c r="AK51" s="86">
        <v>30</v>
      </c>
    </row>
    <row r="52" spans="2:37" x14ac:dyDescent="0.55000000000000004">
      <c r="G52" s="17" t="s">
        <v>250</v>
      </c>
      <c r="H52" s="67">
        <f>'2b.FCosts'!C56</f>
        <v>0</v>
      </c>
      <c r="I52" s="67">
        <f>'2b.FCosts'!D56</f>
        <v>0</v>
      </c>
      <c r="J52" s="67">
        <f>'2b.FCosts'!E56</f>
        <v>0</v>
      </c>
      <c r="K52" s="67">
        <f>'2b.FCosts'!F56</f>
        <v>0</v>
      </c>
      <c r="L52" s="67">
        <f>'2b.FCosts'!G56</f>
        <v>0</v>
      </c>
      <c r="M52" s="67">
        <f>'2b.FCosts'!H56</f>
        <v>0.8</v>
      </c>
      <c r="N52" s="67">
        <f>'2b.FCosts'!I56</f>
        <v>0.87200000000000011</v>
      </c>
      <c r="O52" s="67">
        <f>'2b.FCosts'!J56</f>
        <v>0.95048000000000021</v>
      </c>
      <c r="P52" s="67">
        <f>'2b.FCosts'!K56</f>
        <v>1</v>
      </c>
      <c r="Q52" s="67">
        <f>'2b.FCosts'!L56</f>
        <v>1</v>
      </c>
      <c r="R52" s="67">
        <f>'2b.FCosts'!M56</f>
        <v>1</v>
      </c>
      <c r="S52" s="67">
        <f>'2b.FCosts'!N56</f>
        <v>1</v>
      </c>
      <c r="T52" s="67">
        <f>'2b.FCosts'!O56</f>
        <v>1</v>
      </c>
      <c r="U52" s="67">
        <f>'2b.FCosts'!P56</f>
        <v>1</v>
      </c>
      <c r="V52" s="67">
        <f>'2b.FCosts'!Q56</f>
        <v>1</v>
      </c>
      <c r="W52" s="67">
        <f>'2b.FCosts'!R56</f>
        <v>1</v>
      </c>
      <c r="X52" s="67">
        <f>'2b.FCosts'!S56</f>
        <v>1</v>
      </c>
      <c r="Y52" s="67">
        <f>'2b.FCosts'!T56</f>
        <v>1</v>
      </c>
      <c r="Z52" s="67">
        <f>'2b.FCosts'!U56</f>
        <v>1</v>
      </c>
      <c r="AA52" s="67">
        <f>'2b.FCosts'!V56</f>
        <v>1</v>
      </c>
      <c r="AB52" s="67">
        <f>'2b.FCosts'!W56</f>
        <v>1</v>
      </c>
      <c r="AC52" s="67">
        <f>'2b.FCosts'!X56</f>
        <v>1</v>
      </c>
      <c r="AD52" s="67">
        <f>'2b.FCosts'!Y56</f>
        <v>1</v>
      </c>
      <c r="AE52" s="67">
        <f>'2b.FCosts'!Z56</f>
        <v>1</v>
      </c>
      <c r="AF52" s="67">
        <f>'2b.FCosts'!AA56</f>
        <v>1</v>
      </c>
      <c r="AG52" s="67">
        <f>'2b.FCosts'!AB56</f>
        <v>1</v>
      </c>
      <c r="AH52" s="67">
        <f>'2b.FCosts'!AC56</f>
        <v>1</v>
      </c>
      <c r="AI52" s="67">
        <f>'2b.FCosts'!AD56</f>
        <v>1</v>
      </c>
      <c r="AJ52" s="67">
        <f>'2b.FCosts'!AE56</f>
        <v>1</v>
      </c>
      <c r="AK52" s="67">
        <f>'2b.FCosts'!AF56</f>
        <v>1</v>
      </c>
    </row>
    <row r="53" spans="2:37" x14ac:dyDescent="0.55000000000000004">
      <c r="G53" s="64" t="s">
        <v>176</v>
      </c>
      <c r="H53" s="68">
        <f t="shared" ref="H53:L53" si="6">$J$49*H$52</f>
        <v>0</v>
      </c>
      <c r="I53" s="68">
        <f t="shared" si="6"/>
        <v>0</v>
      </c>
      <c r="J53" s="68">
        <f t="shared" si="6"/>
        <v>0</v>
      </c>
      <c r="K53" s="68">
        <f t="shared" si="6"/>
        <v>0</v>
      </c>
      <c r="L53" s="68">
        <f t="shared" si="6"/>
        <v>0</v>
      </c>
      <c r="M53" s="68">
        <f>$J$49*M$52</f>
        <v>247194.25043478259</v>
      </c>
      <c r="N53" s="68">
        <f t="shared" ref="N53:AK53" si="7">$J$49*N$52</f>
        <v>269441.73297391308</v>
      </c>
      <c r="O53" s="68">
        <f t="shared" si="7"/>
        <v>293691.48894156527</v>
      </c>
      <c r="P53" s="68">
        <f t="shared" si="7"/>
        <v>308992.81304347824</v>
      </c>
      <c r="Q53" s="68">
        <f t="shared" si="7"/>
        <v>308992.81304347824</v>
      </c>
      <c r="R53" s="68">
        <f t="shared" si="7"/>
        <v>308992.81304347824</v>
      </c>
      <c r="S53" s="68">
        <f t="shared" si="7"/>
        <v>308992.81304347824</v>
      </c>
      <c r="T53" s="68">
        <f t="shared" si="7"/>
        <v>308992.81304347824</v>
      </c>
      <c r="U53" s="68">
        <f t="shared" si="7"/>
        <v>308992.81304347824</v>
      </c>
      <c r="V53" s="68">
        <f t="shared" si="7"/>
        <v>308992.81304347824</v>
      </c>
      <c r="W53" s="68">
        <f t="shared" si="7"/>
        <v>308992.81304347824</v>
      </c>
      <c r="X53" s="68">
        <f t="shared" si="7"/>
        <v>308992.81304347824</v>
      </c>
      <c r="Y53" s="68">
        <f t="shared" si="7"/>
        <v>308992.81304347824</v>
      </c>
      <c r="Z53" s="68">
        <f t="shared" si="7"/>
        <v>308992.81304347824</v>
      </c>
      <c r="AA53" s="68">
        <f t="shared" si="7"/>
        <v>308992.81304347824</v>
      </c>
      <c r="AB53" s="68">
        <f t="shared" si="7"/>
        <v>308992.81304347824</v>
      </c>
      <c r="AC53" s="68">
        <f t="shared" si="7"/>
        <v>308992.81304347824</v>
      </c>
      <c r="AD53" s="68">
        <f t="shared" si="7"/>
        <v>308992.81304347824</v>
      </c>
      <c r="AE53" s="68">
        <f t="shared" si="7"/>
        <v>308992.81304347824</v>
      </c>
      <c r="AF53" s="68">
        <f t="shared" si="7"/>
        <v>308992.81304347824</v>
      </c>
      <c r="AG53" s="68">
        <f t="shared" si="7"/>
        <v>308992.81304347824</v>
      </c>
      <c r="AH53" s="68">
        <f t="shared" si="7"/>
        <v>308992.81304347824</v>
      </c>
      <c r="AI53" s="68">
        <f t="shared" si="7"/>
        <v>308992.81304347824</v>
      </c>
      <c r="AJ53" s="68">
        <f t="shared" si="7"/>
        <v>308992.81304347824</v>
      </c>
      <c r="AK53" s="68">
        <f t="shared" si="7"/>
        <v>308992.81304347824</v>
      </c>
    </row>
  </sheetData>
  <sheetProtection algorithmName="SHA-512" hashValue="Sm77Lqs/S3B+vaykeYU7ttJy1P36zAmv+5fz4nmIVCJLx/biQdgxK5cTQRdG7gHPnH25j47iTYJbpsMpJTDhDQ==" saltValue="GFpcS3T3P9BTuLcq9Ka9TQ==" spinCount="100000" sheet="1" objects="1" scenarios="1" autoFilter="0"/>
  <phoneticPr fontId="4"/>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AB826-2F8F-4B0A-95F0-F4C3BBC97FA3}">
  <sheetPr codeName="Sheet9">
    <tabColor theme="5" tint="0.59999389629810485"/>
  </sheetPr>
  <dimension ref="A1:AI62"/>
  <sheetViews>
    <sheetView zoomScale="70" zoomScaleNormal="70" workbookViewId="0">
      <pane xSplit="1" ySplit="1" topLeftCell="C2" activePane="bottomRight" state="frozen"/>
      <selection activeCell="B21" sqref="B21"/>
      <selection pane="topRight" activeCell="B21" sqref="B21"/>
      <selection pane="bottomLeft" activeCell="B21" sqref="B21"/>
      <selection pane="bottomRight" activeCell="B21" sqref="B21"/>
    </sheetView>
  </sheetViews>
  <sheetFormatPr defaultRowHeight="18" x14ac:dyDescent="0.55000000000000004"/>
  <cols>
    <col min="1" max="1" width="2.58203125" customWidth="1"/>
    <col min="2" max="2" width="67.4140625" customWidth="1"/>
    <col min="3" max="3" width="10.75" customWidth="1"/>
    <col min="4" max="4" width="8.6640625" customWidth="1"/>
    <col min="5" max="5" width="67.4140625" customWidth="1"/>
    <col min="6" max="30" width="10.4140625" customWidth="1"/>
  </cols>
  <sheetData>
    <row r="1" spans="1:35" s="3" customFormat="1" ht="20" x14ac:dyDescent="0.6">
      <c r="A1" s="5" t="str">
        <f>"Economic Benefits ("&amp;MID('0.Contents'!A1,20,(LEN('0.Contents'!A1)-20))&amp;")"</f>
        <v>Economic Benefits (Power Distribution)</v>
      </c>
    </row>
    <row r="2" spans="1:35" ht="20" x14ac:dyDescent="0.6">
      <c r="A2" s="6"/>
      <c r="E2" s="10" t="s">
        <v>37</v>
      </c>
    </row>
    <row r="3" spans="1:35" x14ac:dyDescent="0.55000000000000004">
      <c r="E3" s="7" t="s">
        <v>11</v>
      </c>
      <c r="F3" s="17"/>
    </row>
    <row r="4" spans="1:35" x14ac:dyDescent="0.55000000000000004">
      <c r="E4" s="16" t="str">
        <f>_xlfn.CONCAT('1.Params_8.Sensitivity'!G13, " (a)")</f>
        <v>Additional Supply of Electricity to Meet Demand per year (a)</v>
      </c>
      <c r="F4" s="41">
        <f>'1.Params_8.Sensitivity'!$I$13</f>
        <v>4938559.5</v>
      </c>
      <c r="G4" s="18"/>
    </row>
    <row r="5" spans="1:35" x14ac:dyDescent="0.55000000000000004">
      <c r="E5" s="351" t="str">
        <f>_xlfn.CONCAT('1.Params_8.Sensitivity'!G15, " (b)")</f>
        <v>Average Sales Rate per kWh (b)</v>
      </c>
      <c r="F5" s="88">
        <f>'1.Params_8.Sensitivity'!$I$15</f>
        <v>8.0500000000000007</v>
      </c>
      <c r="G5" s="18"/>
    </row>
    <row r="6" spans="1:35" x14ac:dyDescent="0.55000000000000004">
      <c r="E6" s="16" t="str">
        <f>_xlfn.CONCAT('1.Params_8.Sensitivity'!G17, " (c)")</f>
        <v>Cost of Electricity Produced Privately per kWh (c)</v>
      </c>
      <c r="F6" s="88">
        <f>'1.Params_8.Sensitivity'!$I$17</f>
        <v>12</v>
      </c>
      <c r="G6" s="18"/>
    </row>
    <row r="7" spans="1:35" x14ac:dyDescent="0.55000000000000004">
      <c r="E7" s="15" t="s">
        <v>252</v>
      </c>
      <c r="F7" s="63">
        <f>0.5*F4*(F6-F5)*1000/10^5</f>
        <v>97536.55012499998</v>
      </c>
      <c r="G7" s="140" t="s">
        <v>114</v>
      </c>
    </row>
    <row r="8" spans="1:35" x14ac:dyDescent="0.55000000000000004">
      <c r="E8" s="217" t="str">
        <f>"Indirect Benefits Attributable to Generation/Transmission ("&amp;TEXT(1-'1.Params_8.Sensitivity'!I22,"0.0%")&amp;")"</f>
        <v>Indirect Benefits Attributable to Generation/Transmission (66.7%)</v>
      </c>
      <c r="F8" s="58">
        <f>F7*(1-'1.Params_8.Sensitivity'!I22)</f>
        <v>65024.366749999994</v>
      </c>
      <c r="G8" s="140"/>
    </row>
    <row r="9" spans="1:35" x14ac:dyDescent="0.55000000000000004">
      <c r="E9" s="15" t="s">
        <v>253</v>
      </c>
      <c r="F9" s="126">
        <f>F7-F8</f>
        <v>32512.183374999986</v>
      </c>
      <c r="G9" s="140" t="s">
        <v>114</v>
      </c>
    </row>
    <row r="11" spans="1:35" x14ac:dyDescent="0.55000000000000004">
      <c r="E11" s="9"/>
      <c r="F11" s="65">
        <v>1</v>
      </c>
      <c r="G11" s="7">
        <v>2</v>
      </c>
      <c r="H11" s="65">
        <v>3</v>
      </c>
      <c r="I11" s="7">
        <v>4</v>
      </c>
      <c r="J11" s="65">
        <v>5</v>
      </c>
    </row>
    <row r="12" spans="1:35" x14ac:dyDescent="0.55000000000000004">
      <c r="E12" s="17" t="s">
        <v>248</v>
      </c>
      <c r="F12" s="67">
        <f>'3.FBenefits'!C$15</f>
        <v>0</v>
      </c>
      <c r="G12" s="67">
        <f>'3.FBenefits'!D$15</f>
        <v>0</v>
      </c>
      <c r="H12" s="67">
        <f>'3.FBenefits'!E$15</f>
        <v>0</v>
      </c>
      <c r="I12" s="67">
        <f>'3.FBenefits'!F$15</f>
        <v>0</v>
      </c>
      <c r="J12" s="67">
        <f>'3.FBenefits'!G$15</f>
        <v>0</v>
      </c>
    </row>
    <row r="13" spans="1:35" x14ac:dyDescent="0.55000000000000004">
      <c r="E13" s="64" t="s">
        <v>39</v>
      </c>
      <c r="F13" s="66">
        <f>$F$9*F$12</f>
        <v>0</v>
      </c>
      <c r="G13" s="66">
        <f>$F$9*G$12</f>
        <v>0</v>
      </c>
      <c r="H13" s="66">
        <f>$F$9*H$12</f>
        <v>0</v>
      </c>
      <c r="I13" s="66">
        <f>$F$9*I$12</f>
        <v>0</v>
      </c>
      <c r="J13" s="66">
        <f>$F$9*J$12</f>
        <v>0</v>
      </c>
    </row>
    <row r="15" spans="1:35" x14ac:dyDescent="0.55000000000000004">
      <c r="E15" s="9"/>
      <c r="F15" s="65">
        <v>1</v>
      </c>
      <c r="G15" s="7">
        <v>2</v>
      </c>
      <c r="H15" s="65">
        <v>3</v>
      </c>
      <c r="I15" s="7">
        <v>4</v>
      </c>
      <c r="J15" s="65">
        <v>5</v>
      </c>
      <c r="K15" s="86">
        <v>6</v>
      </c>
      <c r="L15" s="87">
        <v>7</v>
      </c>
      <c r="M15" s="86">
        <v>8</v>
      </c>
      <c r="N15" s="87">
        <v>9</v>
      </c>
      <c r="O15" s="86">
        <v>10</v>
      </c>
      <c r="P15" s="87">
        <v>11</v>
      </c>
      <c r="Q15" s="86">
        <v>12</v>
      </c>
      <c r="R15" s="87">
        <v>13</v>
      </c>
      <c r="S15" s="86">
        <v>14</v>
      </c>
      <c r="T15" s="87">
        <v>15</v>
      </c>
      <c r="U15" s="86">
        <v>16</v>
      </c>
      <c r="V15" s="87">
        <v>17</v>
      </c>
      <c r="W15" s="86">
        <v>18</v>
      </c>
      <c r="X15" s="87">
        <v>19</v>
      </c>
      <c r="Y15" s="86">
        <v>20</v>
      </c>
      <c r="Z15" s="87">
        <v>21</v>
      </c>
      <c r="AA15" s="86">
        <v>22</v>
      </c>
      <c r="AB15" s="87">
        <v>23</v>
      </c>
      <c r="AC15" s="86">
        <v>24</v>
      </c>
      <c r="AD15" s="87">
        <v>25</v>
      </c>
      <c r="AE15" s="86">
        <v>26</v>
      </c>
      <c r="AF15" s="87">
        <v>27</v>
      </c>
      <c r="AG15" s="86">
        <v>28</v>
      </c>
      <c r="AH15" s="87">
        <v>29</v>
      </c>
      <c r="AI15" s="86">
        <v>30</v>
      </c>
    </row>
    <row r="16" spans="1:35" x14ac:dyDescent="0.55000000000000004">
      <c r="E16" s="4" t="s">
        <v>249</v>
      </c>
      <c r="F16" s="67"/>
      <c r="G16" s="67"/>
      <c r="H16" s="67"/>
      <c r="I16" s="67"/>
      <c r="J16" s="67"/>
      <c r="K16" s="67">
        <f>'3.FBenefits'!H$19</f>
        <v>0.8</v>
      </c>
      <c r="L16" s="67">
        <f>'3.FBenefits'!I$19</f>
        <v>0.87200000000000011</v>
      </c>
      <c r="M16" s="67">
        <f>'3.FBenefits'!J$19</f>
        <v>0.95048000000000021</v>
      </c>
      <c r="N16" s="67">
        <f>'3.FBenefits'!K$19</f>
        <v>1</v>
      </c>
      <c r="O16" s="67">
        <f>'3.FBenefits'!L$19</f>
        <v>1</v>
      </c>
      <c r="P16" s="67">
        <f>'3.FBenefits'!M$19</f>
        <v>1</v>
      </c>
      <c r="Q16" s="67">
        <f>'3.FBenefits'!N$19</f>
        <v>1</v>
      </c>
      <c r="R16" s="67">
        <f>'3.FBenefits'!O$19</f>
        <v>1</v>
      </c>
      <c r="S16" s="67">
        <f>'3.FBenefits'!P$19</f>
        <v>1</v>
      </c>
      <c r="T16" s="67">
        <f>'3.FBenefits'!Q$19</f>
        <v>1</v>
      </c>
      <c r="U16" s="67">
        <f>'3.FBenefits'!R$19</f>
        <v>1</v>
      </c>
      <c r="V16" s="67">
        <f>'3.FBenefits'!S$19</f>
        <v>1</v>
      </c>
      <c r="W16" s="67">
        <f>'3.FBenefits'!T$19</f>
        <v>1</v>
      </c>
      <c r="X16" s="67">
        <f>'3.FBenefits'!U$19</f>
        <v>1</v>
      </c>
      <c r="Y16" s="67">
        <f>'3.FBenefits'!V$19</f>
        <v>1</v>
      </c>
      <c r="Z16" s="67">
        <f>'3.FBenefits'!W$19</f>
        <v>1</v>
      </c>
      <c r="AA16" s="67">
        <f>'3.FBenefits'!X$19</f>
        <v>1</v>
      </c>
      <c r="AB16" s="67">
        <f>'3.FBenefits'!Y$19</f>
        <v>1</v>
      </c>
      <c r="AC16" s="67">
        <f>'3.FBenefits'!Z$19</f>
        <v>1</v>
      </c>
      <c r="AD16" s="67">
        <f>'3.FBenefits'!AA$19</f>
        <v>1</v>
      </c>
      <c r="AE16" s="67">
        <f>'3.FBenefits'!AB$19</f>
        <v>1</v>
      </c>
      <c r="AF16" s="67">
        <f>'3.FBenefits'!AC$19</f>
        <v>1</v>
      </c>
      <c r="AG16" s="67">
        <f>'3.FBenefits'!AD$19</f>
        <v>1</v>
      </c>
      <c r="AH16" s="67">
        <f>'3.FBenefits'!AE$19</f>
        <v>1</v>
      </c>
      <c r="AI16" s="67">
        <f>'3.FBenefits'!AF$19</f>
        <v>1</v>
      </c>
    </row>
    <row r="17" spans="5:35" x14ac:dyDescent="0.55000000000000004">
      <c r="E17" s="64" t="s">
        <v>167</v>
      </c>
      <c r="F17" s="263" t="s">
        <v>204</v>
      </c>
      <c r="G17" s="263" t="s">
        <v>204</v>
      </c>
      <c r="H17" s="263" t="s">
        <v>204</v>
      </c>
      <c r="I17" s="263" t="s">
        <v>204</v>
      </c>
      <c r="J17" s="263" t="s">
        <v>204</v>
      </c>
      <c r="K17" s="68">
        <f t="shared" ref="K17:AI17" si="0">$F$9*K$16</f>
        <v>26009.746699999989</v>
      </c>
      <c r="L17" s="68">
        <f t="shared" si="0"/>
        <v>28350.623902999992</v>
      </c>
      <c r="M17" s="68">
        <f t="shared" si="0"/>
        <v>30902.180054269993</v>
      </c>
      <c r="N17" s="68">
        <f t="shared" si="0"/>
        <v>32512.183374999986</v>
      </c>
      <c r="O17" s="68">
        <f t="shared" si="0"/>
        <v>32512.183374999986</v>
      </c>
      <c r="P17" s="68">
        <f t="shared" si="0"/>
        <v>32512.183374999986</v>
      </c>
      <c r="Q17" s="68">
        <f t="shared" si="0"/>
        <v>32512.183374999986</v>
      </c>
      <c r="R17" s="68">
        <f t="shared" si="0"/>
        <v>32512.183374999986</v>
      </c>
      <c r="S17" s="68">
        <f t="shared" si="0"/>
        <v>32512.183374999986</v>
      </c>
      <c r="T17" s="68">
        <f t="shared" si="0"/>
        <v>32512.183374999986</v>
      </c>
      <c r="U17" s="68">
        <f t="shared" si="0"/>
        <v>32512.183374999986</v>
      </c>
      <c r="V17" s="68">
        <f t="shared" si="0"/>
        <v>32512.183374999986</v>
      </c>
      <c r="W17" s="68">
        <f t="shared" si="0"/>
        <v>32512.183374999986</v>
      </c>
      <c r="X17" s="68">
        <f t="shared" si="0"/>
        <v>32512.183374999986</v>
      </c>
      <c r="Y17" s="68">
        <f t="shared" si="0"/>
        <v>32512.183374999986</v>
      </c>
      <c r="Z17" s="68">
        <f t="shared" si="0"/>
        <v>32512.183374999986</v>
      </c>
      <c r="AA17" s="68">
        <f t="shared" si="0"/>
        <v>32512.183374999986</v>
      </c>
      <c r="AB17" s="68">
        <f t="shared" si="0"/>
        <v>32512.183374999986</v>
      </c>
      <c r="AC17" s="68">
        <f t="shared" si="0"/>
        <v>32512.183374999986</v>
      </c>
      <c r="AD17" s="68">
        <f t="shared" si="0"/>
        <v>32512.183374999986</v>
      </c>
      <c r="AE17" s="68">
        <f t="shared" si="0"/>
        <v>32512.183374999986</v>
      </c>
      <c r="AF17" s="68">
        <f t="shared" si="0"/>
        <v>32512.183374999986</v>
      </c>
      <c r="AG17" s="68">
        <f t="shared" si="0"/>
        <v>32512.183374999986</v>
      </c>
      <c r="AH17" s="68">
        <f t="shared" si="0"/>
        <v>32512.183374999986</v>
      </c>
      <c r="AI17" s="68">
        <f t="shared" si="0"/>
        <v>32512.183374999986</v>
      </c>
    </row>
    <row r="20" spans="5:35" x14ac:dyDescent="0.55000000000000004">
      <c r="E20" s="10" t="s">
        <v>38</v>
      </c>
    </row>
    <row r="21" spans="5:35" x14ac:dyDescent="0.55000000000000004">
      <c r="E21" s="7" t="s">
        <v>11</v>
      </c>
      <c r="F21" s="9"/>
    </row>
    <row r="22" spans="5:35" x14ac:dyDescent="0.55000000000000004">
      <c r="E22" s="16" t="str">
        <f>_xlfn.CONCAT('1.Params_8.Sensitivity'!G15, " (b)")</f>
        <v>Average Sales Rate per kWh (b)</v>
      </c>
      <c r="F22" s="88">
        <f>'1.Params_8.Sensitivity'!$I$15</f>
        <v>8.0500000000000007</v>
      </c>
    </row>
    <row r="23" spans="5:35" x14ac:dyDescent="0.55000000000000004">
      <c r="E23" s="16" t="str">
        <f>_xlfn.CONCAT('1.Params_8.Sensitivity'!G17, " (c)")</f>
        <v>Cost of Electricity Produced Privately per kWh (c)</v>
      </c>
      <c r="F23" s="88">
        <f>'1.Params_8.Sensitivity'!$I$17</f>
        <v>12</v>
      </c>
    </row>
    <row r="24" spans="5:35" x14ac:dyDescent="0.55000000000000004">
      <c r="E24" s="4" t="str">
        <f>_xlfn.CONCAT('1.Params_8.Sensitivity'!G7, " (d)")</f>
        <v>Existing Customers (d)</v>
      </c>
      <c r="F24" s="39">
        <f>'1.Params_8.Sensitivity'!$I$7</f>
        <v>100000</v>
      </c>
    </row>
    <row r="25" spans="5:35" x14ac:dyDescent="0.55000000000000004">
      <c r="E25" s="16" t="str">
        <f>_xlfn.CONCAT('1.Params_8.Sensitivity'!G20, " (e)")</f>
        <v>Reduction in Load Shedding per year (e)</v>
      </c>
      <c r="F25" s="130">
        <f>'1.Params_8.Sensitivity'!$I$20</f>
        <v>73</v>
      </c>
    </row>
    <row r="26" spans="5:35" x14ac:dyDescent="0.55000000000000004">
      <c r="E26" s="15" t="s">
        <v>259</v>
      </c>
      <c r="F26" s="63">
        <f>F24*(F23-F22)*F25/10^5</f>
        <v>288.34999999999997</v>
      </c>
      <c r="G26" s="140" t="s">
        <v>114</v>
      </c>
    </row>
    <row r="27" spans="5:35" x14ac:dyDescent="0.55000000000000004">
      <c r="E27" s="217" t="str">
        <f>E8</f>
        <v>Indirect Benefits Attributable to Generation/Transmission (66.7%)</v>
      </c>
      <c r="F27" s="58">
        <f>F26*(1-'1.Params_8.Sensitivity'!I22)</f>
        <v>192.23333333333332</v>
      </c>
      <c r="G27" s="140"/>
    </row>
    <row r="28" spans="5:35" x14ac:dyDescent="0.55000000000000004">
      <c r="E28" s="15" t="s">
        <v>262</v>
      </c>
      <c r="F28" s="126">
        <f>F26-F27</f>
        <v>96.116666666666646</v>
      </c>
      <c r="G28" s="140" t="s">
        <v>114</v>
      </c>
    </row>
    <row r="30" spans="5:35" x14ac:dyDescent="0.55000000000000004">
      <c r="E30" s="9"/>
      <c r="F30" s="65">
        <v>1</v>
      </c>
      <c r="G30" s="7">
        <v>2</v>
      </c>
      <c r="H30" s="65">
        <v>3</v>
      </c>
      <c r="I30" s="7">
        <v>4</v>
      </c>
      <c r="J30" s="65">
        <v>5</v>
      </c>
    </row>
    <row r="31" spans="5:35" x14ac:dyDescent="0.55000000000000004">
      <c r="E31" s="17" t="s">
        <v>35</v>
      </c>
      <c r="F31" s="67">
        <f>'3.FBenefits'!C$15</f>
        <v>0</v>
      </c>
      <c r="G31" s="67">
        <f>'3.FBenefits'!D$15</f>
        <v>0</v>
      </c>
      <c r="H31" s="67">
        <f>'3.FBenefits'!E$15</f>
        <v>0</v>
      </c>
      <c r="I31" s="67">
        <f>'3.FBenefits'!F$15</f>
        <v>0</v>
      </c>
      <c r="J31" s="67">
        <f>'3.FBenefits'!G$15</f>
        <v>0</v>
      </c>
    </row>
    <row r="32" spans="5:35" x14ac:dyDescent="0.55000000000000004">
      <c r="E32" s="64" t="s">
        <v>36</v>
      </c>
      <c r="F32" s="66">
        <f>$F$28*'6.EBenefits'!F$31</f>
        <v>0</v>
      </c>
      <c r="G32" s="66">
        <f>$F$28*'6.EBenefits'!G$31</f>
        <v>0</v>
      </c>
      <c r="H32" s="66">
        <f>$F$28*'6.EBenefits'!H$31</f>
        <v>0</v>
      </c>
      <c r="I32" s="66">
        <f>$F$28*'6.EBenefits'!I$31</f>
        <v>0</v>
      </c>
      <c r="J32" s="66">
        <f>$F$28*'6.EBenefits'!J$31</f>
        <v>0</v>
      </c>
    </row>
    <row r="34" spans="2:35" x14ac:dyDescent="0.55000000000000004">
      <c r="E34" s="9"/>
      <c r="F34" s="65">
        <v>1</v>
      </c>
      <c r="G34" s="7">
        <v>2</v>
      </c>
      <c r="H34" s="65">
        <v>3</v>
      </c>
      <c r="I34" s="7">
        <v>4</v>
      </c>
      <c r="J34" s="65">
        <v>5</v>
      </c>
      <c r="K34" s="86">
        <v>6</v>
      </c>
      <c r="L34" s="87">
        <v>7</v>
      </c>
      <c r="M34" s="86">
        <v>8</v>
      </c>
      <c r="N34" s="87">
        <v>9</v>
      </c>
      <c r="O34" s="86">
        <v>10</v>
      </c>
      <c r="P34" s="87">
        <v>11</v>
      </c>
      <c r="Q34" s="86">
        <v>12</v>
      </c>
      <c r="R34" s="87">
        <v>13</v>
      </c>
      <c r="S34" s="86">
        <v>14</v>
      </c>
      <c r="T34" s="87">
        <v>15</v>
      </c>
      <c r="U34" s="86">
        <v>16</v>
      </c>
      <c r="V34" s="87">
        <v>17</v>
      </c>
      <c r="W34" s="86">
        <v>18</v>
      </c>
      <c r="X34" s="87">
        <v>19</v>
      </c>
      <c r="Y34" s="86">
        <v>20</v>
      </c>
      <c r="Z34" s="87">
        <v>21</v>
      </c>
      <c r="AA34" s="86">
        <v>22</v>
      </c>
      <c r="AB34" s="87">
        <v>23</v>
      </c>
      <c r="AC34" s="86">
        <v>24</v>
      </c>
      <c r="AD34" s="87">
        <v>25</v>
      </c>
      <c r="AE34" s="86">
        <v>26</v>
      </c>
      <c r="AF34" s="87">
        <v>27</v>
      </c>
      <c r="AG34" s="86">
        <v>28</v>
      </c>
      <c r="AH34" s="87">
        <v>29</v>
      </c>
      <c r="AI34" s="86">
        <v>30</v>
      </c>
    </row>
    <row r="35" spans="2:35" x14ac:dyDescent="0.55000000000000004">
      <c r="E35" s="4" t="s">
        <v>168</v>
      </c>
      <c r="F35" s="67"/>
      <c r="G35" s="67"/>
      <c r="H35" s="67"/>
      <c r="I35" s="67"/>
      <c r="J35" s="67"/>
      <c r="K35" s="67">
        <f>'3.FBenefits'!H$19</f>
        <v>0.8</v>
      </c>
      <c r="L35" s="67">
        <f>'3.FBenefits'!I$19</f>
        <v>0.87200000000000011</v>
      </c>
      <c r="M35" s="67">
        <f>'3.FBenefits'!J$19</f>
        <v>0.95048000000000021</v>
      </c>
      <c r="N35" s="67">
        <f>'3.FBenefits'!K$19</f>
        <v>1</v>
      </c>
      <c r="O35" s="67">
        <f>'3.FBenefits'!L$19</f>
        <v>1</v>
      </c>
      <c r="P35" s="67">
        <f>'3.FBenefits'!M$19</f>
        <v>1</v>
      </c>
      <c r="Q35" s="67">
        <f>'3.FBenefits'!N$19</f>
        <v>1</v>
      </c>
      <c r="R35" s="67">
        <f>'3.FBenefits'!O$19</f>
        <v>1</v>
      </c>
      <c r="S35" s="67">
        <f>'3.FBenefits'!P$19</f>
        <v>1</v>
      </c>
      <c r="T35" s="67">
        <f>'3.FBenefits'!Q$19</f>
        <v>1</v>
      </c>
      <c r="U35" s="67">
        <f>'3.FBenefits'!R$19</f>
        <v>1</v>
      </c>
      <c r="V35" s="67">
        <f>'3.FBenefits'!S$19</f>
        <v>1</v>
      </c>
      <c r="W35" s="67">
        <f>'3.FBenefits'!T$19</f>
        <v>1</v>
      </c>
      <c r="X35" s="67">
        <f>'3.FBenefits'!U$19</f>
        <v>1</v>
      </c>
      <c r="Y35" s="67">
        <f>'3.FBenefits'!V$19</f>
        <v>1</v>
      </c>
      <c r="Z35" s="67">
        <f>'3.FBenefits'!W$19</f>
        <v>1</v>
      </c>
      <c r="AA35" s="67">
        <f>'3.FBenefits'!X$19</f>
        <v>1</v>
      </c>
      <c r="AB35" s="67">
        <f>'3.FBenefits'!Y$19</f>
        <v>1</v>
      </c>
      <c r="AC35" s="67">
        <f>'3.FBenefits'!Z$19</f>
        <v>1</v>
      </c>
      <c r="AD35" s="67">
        <f>'3.FBenefits'!AA$19</f>
        <v>1</v>
      </c>
      <c r="AE35" s="67">
        <f>'3.FBenefits'!AB$19</f>
        <v>1</v>
      </c>
      <c r="AF35" s="67">
        <f>'3.FBenefits'!AC$19</f>
        <v>1</v>
      </c>
      <c r="AG35" s="67">
        <f>'3.FBenefits'!AD$19</f>
        <v>1</v>
      </c>
      <c r="AH35" s="67">
        <f>'3.FBenefits'!AE$19</f>
        <v>1</v>
      </c>
      <c r="AI35" s="67">
        <f>'3.FBenefits'!AF$19</f>
        <v>1</v>
      </c>
    </row>
    <row r="36" spans="2:35" x14ac:dyDescent="0.55000000000000004">
      <c r="E36" s="64" t="s">
        <v>165</v>
      </c>
      <c r="F36" s="263" t="s">
        <v>204</v>
      </c>
      <c r="G36" s="263" t="s">
        <v>204</v>
      </c>
      <c r="H36" s="263" t="s">
        <v>204</v>
      </c>
      <c r="I36" s="263" t="s">
        <v>204</v>
      </c>
      <c r="J36" s="263" t="s">
        <v>204</v>
      </c>
      <c r="K36" s="68">
        <f t="shared" ref="K36:AI36" si="1">$F$28*K$35</f>
        <v>76.893333333333317</v>
      </c>
      <c r="L36" s="68">
        <f t="shared" si="1"/>
        <v>83.813733333333332</v>
      </c>
      <c r="M36" s="68">
        <f t="shared" si="1"/>
        <v>91.356969333333339</v>
      </c>
      <c r="N36" s="68">
        <f t="shared" si="1"/>
        <v>96.116666666666646</v>
      </c>
      <c r="O36" s="68">
        <f t="shared" si="1"/>
        <v>96.116666666666646</v>
      </c>
      <c r="P36" s="68">
        <f t="shared" si="1"/>
        <v>96.116666666666646</v>
      </c>
      <c r="Q36" s="68">
        <f t="shared" si="1"/>
        <v>96.116666666666646</v>
      </c>
      <c r="R36" s="68">
        <f t="shared" si="1"/>
        <v>96.116666666666646</v>
      </c>
      <c r="S36" s="68">
        <f t="shared" si="1"/>
        <v>96.116666666666646</v>
      </c>
      <c r="T36" s="68">
        <f t="shared" si="1"/>
        <v>96.116666666666646</v>
      </c>
      <c r="U36" s="68">
        <f t="shared" si="1"/>
        <v>96.116666666666646</v>
      </c>
      <c r="V36" s="68">
        <f t="shared" si="1"/>
        <v>96.116666666666646</v>
      </c>
      <c r="W36" s="68">
        <f t="shared" si="1"/>
        <v>96.116666666666646</v>
      </c>
      <c r="X36" s="68">
        <f t="shared" si="1"/>
        <v>96.116666666666646</v>
      </c>
      <c r="Y36" s="68">
        <f t="shared" si="1"/>
        <v>96.116666666666646</v>
      </c>
      <c r="Z36" s="68">
        <f t="shared" si="1"/>
        <v>96.116666666666646</v>
      </c>
      <c r="AA36" s="68">
        <f t="shared" si="1"/>
        <v>96.116666666666646</v>
      </c>
      <c r="AB36" s="68">
        <f t="shared" si="1"/>
        <v>96.116666666666646</v>
      </c>
      <c r="AC36" s="68">
        <f t="shared" si="1"/>
        <v>96.116666666666646</v>
      </c>
      <c r="AD36" s="68">
        <f t="shared" si="1"/>
        <v>96.116666666666646</v>
      </c>
      <c r="AE36" s="68">
        <f t="shared" si="1"/>
        <v>96.116666666666646</v>
      </c>
      <c r="AF36" s="68">
        <f t="shared" si="1"/>
        <v>96.116666666666646</v>
      </c>
      <c r="AG36" s="68">
        <f t="shared" si="1"/>
        <v>96.116666666666646</v>
      </c>
      <c r="AH36" s="68">
        <f t="shared" si="1"/>
        <v>96.116666666666646</v>
      </c>
      <c r="AI36" s="68">
        <f t="shared" si="1"/>
        <v>96.116666666666646</v>
      </c>
    </row>
    <row r="39" spans="2:35" x14ac:dyDescent="0.55000000000000004">
      <c r="B39" s="29" t="s">
        <v>21</v>
      </c>
      <c r="C39" s="30"/>
      <c r="D39" s="25"/>
      <c r="E39" s="25"/>
    </row>
    <row r="40" spans="2:35" x14ac:dyDescent="0.55000000000000004">
      <c r="B40" s="29" t="s">
        <v>260</v>
      </c>
      <c r="C40" s="76">
        <f>1/'1.Params_8.Sensitivity'!$D$8</f>
        <v>0.86956521739130443</v>
      </c>
      <c r="D40" s="25"/>
      <c r="E40" s="25"/>
    </row>
    <row r="41" spans="2:35" x14ac:dyDescent="0.55000000000000004">
      <c r="B41" s="193" t="s">
        <v>33</v>
      </c>
      <c r="C41" s="192">
        <f>1/'1.Params_8.Sensitivity'!$D$9</f>
        <v>0.68965517241379315</v>
      </c>
      <c r="D41" s="25"/>
      <c r="E41" s="25"/>
    </row>
    <row r="42" spans="2:35" x14ac:dyDescent="0.55000000000000004">
      <c r="B42" s="25"/>
      <c r="C42" s="25"/>
      <c r="D42" s="25"/>
      <c r="E42" s="25"/>
    </row>
    <row r="43" spans="2:35" x14ac:dyDescent="0.55000000000000004">
      <c r="B43" s="31" t="s">
        <v>190</v>
      </c>
      <c r="C43" s="25"/>
      <c r="D43" s="25"/>
      <c r="E43" s="31" t="s">
        <v>191</v>
      </c>
    </row>
    <row r="44" spans="2:35" ht="29" x14ac:dyDescent="0.85">
      <c r="B44" s="7" t="s">
        <v>11</v>
      </c>
      <c r="C44" s="9"/>
      <c r="D44" s="225" t="s">
        <v>17</v>
      </c>
      <c r="E44" s="7" t="s">
        <v>11</v>
      </c>
      <c r="F44" s="9"/>
    </row>
    <row r="45" spans="2:35" x14ac:dyDescent="0.55000000000000004">
      <c r="B45" s="16" t="str">
        <f>'3.FBenefits'!B3</f>
        <v>Revenue Source I</v>
      </c>
      <c r="E45" s="16" t="str">
        <f t="shared" ref="E45:E53" si="2">B45</f>
        <v>Revenue Source I</v>
      </c>
    </row>
    <row r="46" spans="2:35" x14ac:dyDescent="0.55000000000000004">
      <c r="B46" s="16" t="str">
        <f>'3.FBenefits'!B4</f>
        <v xml:space="preserve">    Additional Supply of Electricity to Meet Demand per year</v>
      </c>
      <c r="C46" s="223">
        <f>'3.FBenefits'!C4</f>
        <v>4938559.5</v>
      </c>
      <c r="E46" s="16" t="str">
        <f t="shared" si="2"/>
        <v xml:space="preserve">    Additional Supply of Electricity to Meet Demand per year</v>
      </c>
      <c r="F46" s="55"/>
    </row>
    <row r="47" spans="2:35" x14ac:dyDescent="0.55000000000000004">
      <c r="B47" s="16" t="str">
        <f>'3.FBenefits'!B5</f>
        <v xml:space="preserve">    Average Sales Rate per kWh</v>
      </c>
      <c r="C47">
        <f>'3.FBenefits'!C5</f>
        <v>8.0500000000000007</v>
      </c>
      <c r="E47" s="16" t="str">
        <f t="shared" si="2"/>
        <v xml:space="preserve">    Average Sales Rate per kWh</v>
      </c>
      <c r="F47" s="88"/>
    </row>
    <row r="48" spans="2:35" x14ac:dyDescent="0.55000000000000004">
      <c r="B48" s="16" t="str">
        <f>'3.FBenefits'!B6</f>
        <v>Revenue Source II</v>
      </c>
      <c r="E48" s="16" t="str">
        <f t="shared" si="2"/>
        <v>Revenue Source II</v>
      </c>
      <c r="F48" s="88"/>
    </row>
    <row r="49" spans="2:35" x14ac:dyDescent="0.55000000000000004">
      <c r="B49" s="16" t="str">
        <f>'3.FBenefits'!B7</f>
        <v xml:space="preserve">    Additional Supply of Electricity to Meet Demand per year</v>
      </c>
      <c r="E49" s="16" t="str">
        <f t="shared" si="2"/>
        <v xml:space="preserve">    Additional Supply of Electricity to Meet Demand per year</v>
      </c>
      <c r="F49" s="88"/>
    </row>
    <row r="50" spans="2:35" x14ac:dyDescent="0.55000000000000004">
      <c r="B50" s="16" t="str">
        <f>'3.FBenefits'!B8</f>
        <v xml:space="preserve">    Average Sales Rate per kWh</v>
      </c>
      <c r="E50" s="16" t="str">
        <f t="shared" si="2"/>
        <v xml:space="preserve">    Average Sales Rate per kWh</v>
      </c>
      <c r="F50" s="88"/>
    </row>
    <row r="51" spans="2:35" x14ac:dyDescent="0.55000000000000004">
      <c r="B51" s="16" t="str">
        <f>'3.FBenefits'!B9</f>
        <v>Revenue Source III</v>
      </c>
      <c r="E51" s="16" t="str">
        <f t="shared" si="2"/>
        <v>Revenue Source III</v>
      </c>
      <c r="F51" s="88"/>
    </row>
    <row r="52" spans="2:35" x14ac:dyDescent="0.55000000000000004">
      <c r="B52" s="16" t="str">
        <f>'3.FBenefits'!B10</f>
        <v xml:space="preserve">    Additional Supply of Electricity to Meet Demand per year</v>
      </c>
      <c r="E52" s="16" t="str">
        <f t="shared" si="2"/>
        <v xml:space="preserve">    Additional Supply of Electricity to Meet Demand per year</v>
      </c>
      <c r="F52" s="88"/>
    </row>
    <row r="53" spans="2:35" x14ac:dyDescent="0.55000000000000004">
      <c r="B53" s="16" t="str">
        <f>'3.FBenefits'!B11</f>
        <v xml:space="preserve">    Average Sales Rate per kWh</v>
      </c>
      <c r="E53" s="16" t="str">
        <f t="shared" si="2"/>
        <v xml:space="preserve">    Average Sales Rate per kWh</v>
      </c>
      <c r="F53" s="88"/>
    </row>
    <row r="54" spans="2:35" x14ac:dyDescent="0.55000000000000004">
      <c r="B54" s="15" t="s">
        <v>34</v>
      </c>
      <c r="C54" s="224">
        <f>'3.FBenefits'!C12</f>
        <v>397554.03975</v>
      </c>
      <c r="D54" s="140" t="s">
        <v>114</v>
      </c>
      <c r="E54" s="15" t="s">
        <v>192</v>
      </c>
      <c r="F54" s="126">
        <f>C54*$C$40</f>
        <v>345699.16500000004</v>
      </c>
      <c r="G54" s="140" t="s">
        <v>114</v>
      </c>
    </row>
    <row r="56" spans="2:35" x14ac:dyDescent="0.55000000000000004">
      <c r="E56" s="9"/>
      <c r="F56" s="65">
        <v>1</v>
      </c>
      <c r="G56" s="7">
        <v>2</v>
      </c>
      <c r="H56" s="65">
        <v>3</v>
      </c>
      <c r="I56" s="7">
        <v>4</v>
      </c>
      <c r="J56" s="65">
        <v>5</v>
      </c>
      <c r="K56" s="69"/>
    </row>
    <row r="57" spans="2:35" x14ac:dyDescent="0.55000000000000004">
      <c r="E57" s="17" t="s">
        <v>246</v>
      </c>
      <c r="F57" s="67">
        <f>'3.FBenefits'!C15</f>
        <v>0</v>
      </c>
      <c r="G57" s="67">
        <f>'3.FBenefits'!D15</f>
        <v>0</v>
      </c>
      <c r="H57" s="67">
        <f>'3.FBenefits'!E15</f>
        <v>0</v>
      </c>
      <c r="I57" s="67">
        <f>'3.FBenefits'!F15</f>
        <v>0</v>
      </c>
      <c r="J57" s="67">
        <f>'3.FBenefits'!G15</f>
        <v>0</v>
      </c>
      <c r="K57" s="67"/>
    </row>
    <row r="58" spans="2:35" x14ac:dyDescent="0.55000000000000004">
      <c r="E58" s="64" t="s">
        <v>42</v>
      </c>
      <c r="F58" s="66">
        <f>$F$54*F57</f>
        <v>0</v>
      </c>
      <c r="G58" s="66">
        <f t="shared" ref="G58:I58" si="3">$F$54*G57</f>
        <v>0</v>
      </c>
      <c r="H58" s="66">
        <f t="shared" si="3"/>
        <v>0</v>
      </c>
      <c r="I58" s="66">
        <f t="shared" si="3"/>
        <v>0</v>
      </c>
      <c r="J58" s="66">
        <f>$F$54*J57</f>
        <v>0</v>
      </c>
      <c r="K58" s="70"/>
    </row>
    <row r="60" spans="2:35" x14ac:dyDescent="0.55000000000000004">
      <c r="E60" s="17"/>
      <c r="F60" s="14">
        <v>1</v>
      </c>
      <c r="G60" s="12">
        <v>2</v>
      </c>
      <c r="H60" s="14">
        <v>3</v>
      </c>
      <c r="I60" s="12">
        <v>4</v>
      </c>
      <c r="J60" s="14">
        <v>5</v>
      </c>
      <c r="K60" s="83">
        <v>6</v>
      </c>
      <c r="L60" s="84">
        <v>7</v>
      </c>
      <c r="M60" s="83">
        <v>8</v>
      </c>
      <c r="N60" s="84">
        <v>9</v>
      </c>
      <c r="O60" s="83">
        <v>10</v>
      </c>
      <c r="P60" s="84">
        <v>11</v>
      </c>
      <c r="Q60" s="83">
        <v>12</v>
      </c>
      <c r="R60" s="84">
        <v>13</v>
      </c>
      <c r="S60" s="83">
        <v>14</v>
      </c>
      <c r="T60" s="84">
        <v>15</v>
      </c>
      <c r="U60" s="83">
        <v>16</v>
      </c>
      <c r="V60" s="84">
        <v>17</v>
      </c>
      <c r="W60" s="83">
        <v>18</v>
      </c>
      <c r="X60" s="84">
        <v>19</v>
      </c>
      <c r="Y60" s="83">
        <v>20</v>
      </c>
      <c r="Z60" s="84">
        <v>21</v>
      </c>
      <c r="AA60" s="83">
        <v>22</v>
      </c>
      <c r="AB60" s="84">
        <v>23</v>
      </c>
      <c r="AC60" s="83">
        <v>24</v>
      </c>
      <c r="AD60" s="84">
        <v>25</v>
      </c>
      <c r="AE60" s="83">
        <v>26</v>
      </c>
      <c r="AF60" s="84">
        <v>27</v>
      </c>
      <c r="AG60" s="83">
        <v>28</v>
      </c>
      <c r="AH60" s="84">
        <v>29</v>
      </c>
      <c r="AI60" s="83">
        <v>30</v>
      </c>
    </row>
    <row r="61" spans="2:35" x14ac:dyDescent="0.55000000000000004">
      <c r="E61" s="17" t="s">
        <v>247</v>
      </c>
      <c r="F61" s="74"/>
      <c r="G61" s="74"/>
      <c r="H61" s="74"/>
      <c r="I61" s="74"/>
      <c r="J61" s="74"/>
      <c r="K61" s="74">
        <f>'3.FBenefits'!H19</f>
        <v>0.8</v>
      </c>
      <c r="L61" s="74">
        <f>'3.FBenefits'!I19</f>
        <v>0.87200000000000011</v>
      </c>
      <c r="M61" s="74">
        <f>'3.FBenefits'!J19</f>
        <v>0.95048000000000021</v>
      </c>
      <c r="N61" s="74">
        <f>'3.FBenefits'!K19</f>
        <v>1</v>
      </c>
      <c r="O61" s="74">
        <f>'3.FBenefits'!L19</f>
        <v>1</v>
      </c>
      <c r="P61" s="74">
        <f>'3.FBenefits'!M19</f>
        <v>1</v>
      </c>
      <c r="Q61" s="74">
        <f>'3.FBenefits'!N19</f>
        <v>1</v>
      </c>
      <c r="R61" s="74">
        <f>'3.FBenefits'!O19</f>
        <v>1</v>
      </c>
      <c r="S61" s="74">
        <f>'3.FBenefits'!P19</f>
        <v>1</v>
      </c>
      <c r="T61" s="74">
        <f>'3.FBenefits'!Q19</f>
        <v>1</v>
      </c>
      <c r="U61" s="74">
        <f>'3.FBenefits'!R19</f>
        <v>1</v>
      </c>
      <c r="V61" s="74">
        <f>'3.FBenefits'!S19</f>
        <v>1</v>
      </c>
      <c r="W61" s="74">
        <f>'3.FBenefits'!T19</f>
        <v>1</v>
      </c>
      <c r="X61" s="74">
        <f>'3.FBenefits'!U19</f>
        <v>1</v>
      </c>
      <c r="Y61" s="74">
        <f>'3.FBenefits'!V19</f>
        <v>1</v>
      </c>
      <c r="Z61" s="74">
        <f>'3.FBenefits'!W19</f>
        <v>1</v>
      </c>
      <c r="AA61" s="74">
        <f>'3.FBenefits'!X19</f>
        <v>1</v>
      </c>
      <c r="AB61" s="74">
        <f>'3.FBenefits'!Y19</f>
        <v>1</v>
      </c>
      <c r="AC61" s="74">
        <f>'3.FBenefits'!Z19</f>
        <v>1</v>
      </c>
      <c r="AD61" s="74">
        <f>'3.FBenefits'!AA19</f>
        <v>1</v>
      </c>
      <c r="AE61" s="74">
        <f>'3.FBenefits'!AB19</f>
        <v>1</v>
      </c>
      <c r="AF61" s="74">
        <f>'3.FBenefits'!AC19</f>
        <v>1</v>
      </c>
      <c r="AG61" s="74">
        <f>'3.FBenefits'!AD19</f>
        <v>1</v>
      </c>
      <c r="AH61" s="74">
        <f>'3.FBenefits'!AE19</f>
        <v>1</v>
      </c>
      <c r="AI61" s="74">
        <f>'3.FBenefits'!AF19</f>
        <v>1</v>
      </c>
    </row>
    <row r="62" spans="2:35" x14ac:dyDescent="0.55000000000000004">
      <c r="E62" s="64" t="s">
        <v>166</v>
      </c>
      <c r="F62" s="263" t="s">
        <v>204</v>
      </c>
      <c r="G62" s="263" t="s">
        <v>204</v>
      </c>
      <c r="H62" s="263" t="s">
        <v>204</v>
      </c>
      <c r="I62" s="263" t="s">
        <v>204</v>
      </c>
      <c r="J62" s="263" t="s">
        <v>204</v>
      </c>
      <c r="K62" s="68">
        <f>$F$54*K61</f>
        <v>276559.33200000005</v>
      </c>
      <c r="L62" s="68">
        <f t="shared" ref="L62:AI62" si="4">$F$54*L61</f>
        <v>301449.6718800001</v>
      </c>
      <c r="M62" s="68">
        <f t="shared" si="4"/>
        <v>328580.14234920009</v>
      </c>
      <c r="N62" s="68">
        <f t="shared" si="4"/>
        <v>345699.16500000004</v>
      </c>
      <c r="O62" s="68">
        <f t="shared" si="4"/>
        <v>345699.16500000004</v>
      </c>
      <c r="P62" s="68">
        <f t="shared" si="4"/>
        <v>345699.16500000004</v>
      </c>
      <c r="Q62" s="68">
        <f t="shared" si="4"/>
        <v>345699.16500000004</v>
      </c>
      <c r="R62" s="68">
        <f t="shared" si="4"/>
        <v>345699.16500000004</v>
      </c>
      <c r="S62" s="68">
        <f t="shared" si="4"/>
        <v>345699.16500000004</v>
      </c>
      <c r="T62" s="68">
        <f t="shared" si="4"/>
        <v>345699.16500000004</v>
      </c>
      <c r="U62" s="68">
        <f t="shared" si="4"/>
        <v>345699.16500000004</v>
      </c>
      <c r="V62" s="68">
        <f t="shared" si="4"/>
        <v>345699.16500000004</v>
      </c>
      <c r="W62" s="68">
        <f t="shared" si="4"/>
        <v>345699.16500000004</v>
      </c>
      <c r="X62" s="68">
        <f t="shared" si="4"/>
        <v>345699.16500000004</v>
      </c>
      <c r="Y62" s="68">
        <f t="shared" si="4"/>
        <v>345699.16500000004</v>
      </c>
      <c r="Z62" s="68">
        <f t="shared" si="4"/>
        <v>345699.16500000004</v>
      </c>
      <c r="AA62" s="68">
        <f t="shared" si="4"/>
        <v>345699.16500000004</v>
      </c>
      <c r="AB62" s="68">
        <f t="shared" si="4"/>
        <v>345699.16500000004</v>
      </c>
      <c r="AC62" s="68">
        <f t="shared" si="4"/>
        <v>345699.16500000004</v>
      </c>
      <c r="AD62" s="68">
        <f t="shared" si="4"/>
        <v>345699.16500000004</v>
      </c>
      <c r="AE62" s="68">
        <f t="shared" si="4"/>
        <v>345699.16500000004</v>
      </c>
      <c r="AF62" s="68">
        <f t="shared" si="4"/>
        <v>345699.16500000004</v>
      </c>
      <c r="AG62" s="68">
        <f t="shared" si="4"/>
        <v>345699.16500000004</v>
      </c>
      <c r="AH62" s="68">
        <f t="shared" si="4"/>
        <v>345699.16500000004</v>
      </c>
      <c r="AI62" s="68">
        <f t="shared" si="4"/>
        <v>345699.16500000004</v>
      </c>
    </row>
  </sheetData>
  <sheetProtection algorithmName="SHA-512" hashValue="icFYeLiD3P031IP8xzM6BU/G0FiQN/ydt6+/YtxWKAlnoB0djo2PDaDdlg1G9nOOjAUR7bBn42RnyTKGgAQHJQ==" saltValue="y/O79rVsxWgkVg1h7QZ3Lw==" spinCount="100000" sheet="1" objects="1" scenarios="1" autoFilter="0"/>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12</vt:i4>
      </vt:variant>
    </vt:vector>
  </HeadingPairs>
  <TitlesOfParts>
    <vt:vector size="12" baseType="lpstr">
      <vt:lpstr>0.Contents</vt:lpstr>
      <vt:lpstr>1.Params_8.Sensitivity</vt:lpstr>
      <vt:lpstr>2a.FCosts</vt:lpstr>
      <vt:lpstr>2b.FCosts</vt:lpstr>
      <vt:lpstr>3.FBenefits</vt:lpstr>
      <vt:lpstr>4a.FAnalysis</vt:lpstr>
      <vt:lpstr>4b.FAnalysis</vt:lpstr>
      <vt:lpstr>5.ECosts</vt:lpstr>
      <vt:lpstr>6.EBenefits</vt:lpstr>
      <vt:lpstr>7a.EAnalysis</vt:lpstr>
      <vt:lpstr>7b.EAnalysis</vt:lpstr>
      <vt:lpstr>9.Results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Maxvandersleen</dc:creator>
  <cp:lastModifiedBy>笠原　龍二_KASAHARA Ryuji</cp:lastModifiedBy>
  <cp:lastPrinted>2023-02-22T05:10:02Z</cp:lastPrinted>
  <dcterms:created xsi:type="dcterms:W3CDTF">2016-08-13T09:34:09Z</dcterms:created>
  <dcterms:modified xsi:type="dcterms:W3CDTF">2024-04-29T04:14:43Z</dcterms:modified>
</cp:coreProperties>
</file>