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mc:AlternateContent xmlns:mc="http://schemas.openxmlformats.org/markup-compatibility/2006">
    <mc:Choice Requires="x15">
      <x15ac:absPath xmlns:x15ac="http://schemas.microsoft.com/office/spreadsheetml/2010/11/ac" url="C:\Users\kasahara.ryuji\Dropbox\02_仕事\★ SPIMS-J2 (all) ★ (1)\20_Output 2 Project Formulation and Approval\2_02 Activity 2-2 Training Materials  (inc. video, manual)\34_cba\handbook\Revised in 25-04-2024\"/>
    </mc:Choice>
  </mc:AlternateContent>
  <xr:revisionPtr revIDLastSave="0" documentId="13_ncr:1_{9DF4142A-43BC-4BB2-BB44-BA94F4B5B7F6}" xr6:coauthVersionLast="47" xr6:coauthVersionMax="47" xr10:uidLastSave="{00000000-0000-0000-0000-000000000000}"/>
  <bookViews>
    <workbookView xWindow="28680" yWindow="-3645" windowWidth="29040" windowHeight="15840" tabRatio="871" xr2:uid="{00000000-000D-0000-FFFF-FFFF00000000}"/>
  </bookViews>
  <sheets>
    <sheet name="0.Contents" sheetId="72" r:id="rId1"/>
    <sheet name="1.Params_8.Sensitivity" sheetId="58" r:id="rId2"/>
    <sheet name="2a.FCosts" sheetId="71" r:id="rId3"/>
    <sheet name="2b.FCosts" sheetId="59" r:id="rId4"/>
    <sheet name="3.FBenefits" sheetId="62" r:id="rId5"/>
    <sheet name="4a.FAnalysis" sheetId="57" r:id="rId6"/>
    <sheet name="4b.FAnalysis" sheetId="74" r:id="rId7"/>
    <sheet name="5.ECosts" sheetId="64" r:id="rId8"/>
    <sheet name="6.EBenefits" sheetId="65" r:id="rId9"/>
    <sheet name="7a.EAnalysis" sheetId="66" r:id="rId10"/>
    <sheet name="7b.EAnalysis" sheetId="75" r:id="rId11"/>
    <sheet name="9.Results" sheetId="67" r:id="rId12"/>
  </sheets>
  <definedNames>
    <definedName name="_____a70000" localSheetId="6">#REF!</definedName>
    <definedName name="_____a70000" localSheetId="10">#REF!</definedName>
    <definedName name="_____a70000">#REF!</definedName>
    <definedName name="_____a80000" localSheetId="6">#REF!</definedName>
    <definedName name="_____a80000" localSheetId="10">#REF!</definedName>
    <definedName name="_____a80000">#REF!</definedName>
    <definedName name="___a70000" localSheetId="6">#REF!</definedName>
    <definedName name="___a70000" localSheetId="10">#REF!</definedName>
    <definedName name="___a70000">#REF!</definedName>
    <definedName name="___a80000">#REF!</definedName>
    <definedName name="_a70000">#REF!</definedName>
    <definedName name="_a80000">#REF!</definedName>
    <definedName name="_Fill" hidden="1">#REF!</definedName>
    <definedName name="\s">#REF!</definedName>
    <definedName name="aaaaa">#REF!</definedName>
    <definedName name="annx">#REF!</definedName>
    <definedName name="asd">#REF!</definedName>
    <definedName name="B380M">#REF!</definedName>
    <definedName name="Basic">#REF!</definedName>
    <definedName name="Basicpp">#REF!</definedName>
    <definedName name="BCR_FINANCIAL_">#N/A</definedName>
    <definedName name="CAPITAL_BCR_">#N/A</definedName>
    <definedName name="ESTIMATED_COST">#N/A</definedName>
    <definedName name="gfh">#REF!</definedName>
    <definedName name="HTML_CodePage" hidden="1">1252</definedName>
    <definedName name="HTML_Control" localSheetId="6" hidden="1">{"'Sheet1'!$B$6:$C$39","'Sheet1'!$B$6:$C$39","'Sheet1'!$M$9"}</definedName>
    <definedName name="HTML_Control" localSheetId="10" hidden="1">{"'Sheet1'!$B$6:$C$39","'Sheet1'!$B$6:$C$39","'Sheet1'!$M$9"}</definedName>
    <definedName name="HTML_Control" hidden="1">{"'Sheet1'!$B$6:$C$39","'Sheet1'!$B$6:$C$39","'Sheet1'!$M$9"}</definedName>
    <definedName name="HTML_Description" hidden="1">""</definedName>
    <definedName name="HTML_Email" hidden="1">""</definedName>
    <definedName name="HTML_Header" hidden="1">"Sheet1"</definedName>
    <definedName name="HTML_LastUpdate" hidden="1">"11/13/03"</definedName>
    <definedName name="HTML_LineAfter" hidden="1">FALSE</definedName>
    <definedName name="HTML_LineBefore" hidden="1">FALSE</definedName>
    <definedName name="HTML_Name" hidden="1">"Ulysses R. Gotera"</definedName>
    <definedName name="HTML_OBDlg2" hidden="1">TRUE</definedName>
    <definedName name="HTML_OBDlg4" hidden="1">TRUE</definedName>
    <definedName name="HTML_OS" hidden="1">0</definedName>
    <definedName name="HTML_PathFile" hidden="1">"C:\My Documents\MyHTML.htm"</definedName>
    <definedName name="HTML_Title" hidden="1">"Top_August_2003"</definedName>
    <definedName name="INPUT_TABLE">#REF!</definedName>
    <definedName name="INTEREST">#REF!</definedName>
    <definedName name="OPERATING_BCR_">#REF!</definedName>
    <definedName name="OPERATING_TABLE">#N/A</definedName>
    <definedName name="parul" hidden="1">#REF!</definedName>
    <definedName name="Parul_Monir">#REF!</definedName>
    <definedName name="Print_Area_MI">#REF!</definedName>
    <definedName name="REVENUE">#N/A</definedName>
    <definedName name="REVENUE_TABLE">#N/A</definedName>
    <definedName name="table">#REF!</definedName>
    <definedName name="TABLE_C">#N/A</definedName>
    <definedName name="TABLE_E">#REF!</definedName>
    <definedName name="TABLE_F">#REF!</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4" i="58" l="1"/>
  <c r="E34" i="75" l="1"/>
  <c r="E33" i="75"/>
  <c r="E32" i="75"/>
  <c r="E31" i="75"/>
  <c r="E30" i="75"/>
  <c r="E29" i="75"/>
  <c r="E28" i="75"/>
  <c r="E27" i="75"/>
  <c r="E26" i="75"/>
  <c r="E25" i="75"/>
  <c r="E24" i="75"/>
  <c r="E23" i="75"/>
  <c r="E22" i="75"/>
  <c r="E21" i="75"/>
  <c r="E20" i="75"/>
  <c r="E19" i="75"/>
  <c r="E18" i="75"/>
  <c r="E17" i="75"/>
  <c r="E16" i="75"/>
  <c r="E15" i="75"/>
  <c r="E14" i="75"/>
  <c r="E13" i="75"/>
  <c r="E12" i="75"/>
  <c r="E11" i="75"/>
  <c r="E34" i="74"/>
  <c r="E33" i="74"/>
  <c r="E32" i="74"/>
  <c r="E31" i="74"/>
  <c r="E30" i="74"/>
  <c r="E29" i="74"/>
  <c r="E28" i="74"/>
  <c r="E27" i="74"/>
  <c r="E26" i="74"/>
  <c r="E25" i="74"/>
  <c r="E24" i="74"/>
  <c r="E23" i="74"/>
  <c r="E22" i="74"/>
  <c r="E21" i="74"/>
  <c r="E20" i="74"/>
  <c r="E19" i="74"/>
  <c r="E18" i="74"/>
  <c r="E17" i="74"/>
  <c r="E16" i="74"/>
  <c r="E15" i="74"/>
  <c r="E14" i="74"/>
  <c r="E13" i="74"/>
  <c r="E12" i="74"/>
  <c r="E11" i="74"/>
  <c r="B19" i="71" l="1"/>
  <c r="B18" i="71"/>
  <c r="B14" i="59"/>
  <c r="B18" i="64"/>
  <c r="B17" i="64"/>
  <c r="B13" i="59"/>
  <c r="E15" i="65" l="1"/>
  <c r="E33" i="65" s="1"/>
  <c r="C23" i="64" l="1"/>
  <c r="I14" i="64"/>
  <c r="E19" i="59"/>
  <c r="D19" i="59"/>
  <c r="C19" i="59"/>
  <c r="F12" i="59"/>
  <c r="E12" i="59"/>
  <c r="D10" i="64"/>
  <c r="I10" i="64" s="1"/>
  <c r="I9" i="64" s="1"/>
  <c r="D11" i="64"/>
  <c r="I11" i="64" s="1"/>
  <c r="D12" i="64"/>
  <c r="I12" i="64" s="1"/>
  <c r="D13" i="64"/>
  <c r="I13" i="64" s="1"/>
  <c r="D14" i="64"/>
  <c r="D15" i="64"/>
  <c r="C15" i="64"/>
  <c r="E13" i="59" l="1"/>
  <c r="E14" i="59"/>
  <c r="D16" i="64"/>
  <c r="F14" i="59"/>
  <c r="F13" i="59"/>
  <c r="E20" i="59"/>
  <c r="F19" i="59" l="1"/>
  <c r="D12" i="59"/>
  <c r="C12" i="59"/>
  <c r="D23" i="64" l="1"/>
  <c r="G19" i="59"/>
  <c r="E23" i="64" s="1"/>
  <c r="D13" i="59"/>
  <c r="D14" i="59"/>
  <c r="D20" i="59"/>
  <c r="C13" i="59"/>
  <c r="C15" i="59" s="1"/>
  <c r="C14" i="59"/>
  <c r="C16" i="64"/>
  <c r="C20" i="59"/>
  <c r="F20" i="59"/>
  <c r="D15" i="59"/>
  <c r="G20" i="59" l="1"/>
  <c r="E24" i="64" s="1"/>
  <c r="D24" i="64"/>
  <c r="I24" i="64" s="1"/>
  <c r="C24" i="64"/>
  <c r="D16" i="59"/>
  <c r="D17" i="64"/>
  <c r="F15" i="59"/>
  <c r="F22" i="59"/>
  <c r="D26" i="64" s="1"/>
  <c r="D18" i="64"/>
  <c r="C18" i="64"/>
  <c r="C17" i="64"/>
  <c r="F21" i="59"/>
  <c r="D25" i="64" s="1"/>
  <c r="I25" i="64" s="1"/>
  <c r="I28" i="64" s="1"/>
  <c r="C16" i="59"/>
  <c r="E15" i="59"/>
  <c r="C19" i="64" l="1"/>
  <c r="E16" i="59"/>
  <c r="F16" i="59"/>
  <c r="F23" i="59"/>
  <c r="D27" i="64" s="1"/>
  <c r="F24" i="59" l="1"/>
  <c r="D28" i="64" s="1"/>
  <c r="H53" i="64" l="1"/>
  <c r="I53" i="64"/>
  <c r="J53" i="64"/>
  <c r="A1" i="67"/>
  <c r="A1" i="75"/>
  <c r="A1" i="66"/>
  <c r="A1" i="65"/>
  <c r="A1" i="64"/>
  <c r="A1" i="74"/>
  <c r="A1" i="57"/>
  <c r="A1" i="62"/>
  <c r="A1" i="59"/>
  <c r="A1" i="71"/>
  <c r="A26" i="58"/>
  <c r="F1" i="58"/>
  <c r="A1" i="58"/>
  <c r="B11" i="57"/>
  <c r="F37" i="75" l="1"/>
  <c r="D38" i="75"/>
  <c r="D39" i="75"/>
  <c r="D37" i="75"/>
  <c r="N4" i="75"/>
  <c r="K4" i="74"/>
  <c r="G35" i="74"/>
  <c r="E59" i="65" l="1"/>
  <c r="B59" i="65"/>
  <c r="B63" i="65"/>
  <c r="E63" i="65" s="1"/>
  <c r="B51" i="65"/>
  <c r="E51" i="65" s="1"/>
  <c r="C47" i="65"/>
  <c r="C46" i="65"/>
  <c r="I18" i="71" l="1"/>
  <c r="J18" i="71"/>
  <c r="K18" i="71"/>
  <c r="K20" i="71" s="1"/>
  <c r="L18" i="71"/>
  <c r="L20" i="71" s="1"/>
  <c r="M18" i="71"/>
  <c r="N18" i="71"/>
  <c r="N20" i="71" s="1"/>
  <c r="I19" i="71"/>
  <c r="J19" i="71"/>
  <c r="J20" i="71" s="1"/>
  <c r="K19" i="71"/>
  <c r="L19" i="71"/>
  <c r="M19" i="71"/>
  <c r="N19" i="71"/>
  <c r="H20" i="71"/>
  <c r="C23" i="59" s="1"/>
  <c r="H19" i="71"/>
  <c r="C22" i="59" s="1"/>
  <c r="H18" i="71"/>
  <c r="C21" i="59" s="1"/>
  <c r="O15" i="71"/>
  <c r="O16" i="71"/>
  <c r="O17" i="71"/>
  <c r="O12" i="71"/>
  <c r="C13" i="64"/>
  <c r="C24" i="59" l="1"/>
  <c r="D22" i="59"/>
  <c r="G22" i="59" s="1"/>
  <c r="E26" i="64" s="1"/>
  <c r="M20" i="71"/>
  <c r="E23" i="59" s="1"/>
  <c r="E21" i="59"/>
  <c r="C25" i="64" s="1"/>
  <c r="E22" i="59"/>
  <c r="I20" i="71"/>
  <c r="D23" i="59" s="1"/>
  <c r="D21" i="59"/>
  <c r="G21" i="59" s="1"/>
  <c r="E25" i="64" s="1"/>
  <c r="O19" i="71"/>
  <c r="O18" i="71"/>
  <c r="O20" i="71"/>
  <c r="P19" i="71" s="1"/>
  <c r="G9" i="59"/>
  <c r="E13" i="64" s="1"/>
  <c r="D24" i="59" l="1"/>
  <c r="C27" i="64"/>
  <c r="C26" i="64"/>
  <c r="E24" i="59"/>
  <c r="C28" i="64" s="1"/>
  <c r="G23" i="59"/>
  <c r="P17" i="71"/>
  <c r="P16" i="71"/>
  <c r="P20" i="71"/>
  <c r="P18" i="71"/>
  <c r="I125" i="58"/>
  <c r="I117" i="58"/>
  <c r="I109" i="58"/>
  <c r="I101" i="58"/>
  <c r="I93" i="58"/>
  <c r="I85" i="58"/>
  <c r="I77" i="58"/>
  <c r="I69" i="58"/>
  <c r="I61" i="58"/>
  <c r="I53" i="58"/>
  <c r="I45" i="58"/>
  <c r="H125" i="58"/>
  <c r="H117" i="58"/>
  <c r="H109" i="58"/>
  <c r="H101" i="58"/>
  <c r="H93" i="58"/>
  <c r="H85" i="58"/>
  <c r="G125" i="58"/>
  <c r="G117" i="58"/>
  <c r="G109" i="58"/>
  <c r="G101" i="58"/>
  <c r="G93" i="58"/>
  <c r="G85" i="58"/>
  <c r="H77" i="58"/>
  <c r="H69" i="58"/>
  <c r="G77" i="58"/>
  <c r="G69" i="58"/>
  <c r="H61" i="58"/>
  <c r="G61" i="58"/>
  <c r="H53" i="58"/>
  <c r="G53" i="58"/>
  <c r="H45" i="58"/>
  <c r="G45" i="58"/>
  <c r="B14" i="66"/>
  <c r="N3" i="75" s="1"/>
  <c r="I8" i="58"/>
  <c r="G24" i="59" l="1"/>
  <c r="E27" i="64"/>
  <c r="F30" i="65"/>
  <c r="F31" i="65"/>
  <c r="F29" i="65"/>
  <c r="E31" i="65"/>
  <c r="E30" i="65"/>
  <c r="E29" i="65"/>
  <c r="E28" i="64" l="1"/>
  <c r="F32" i="65"/>
  <c r="E5" i="65"/>
  <c r="F12" i="65"/>
  <c r="F11" i="65"/>
  <c r="E12" i="65"/>
  <c r="E10" i="65"/>
  <c r="E11" i="65"/>
  <c r="E7" i="65"/>
  <c r="E6" i="65"/>
  <c r="K53" i="64"/>
  <c r="L53" i="64"/>
  <c r="C49" i="64"/>
  <c r="D49" i="64"/>
  <c r="I49" i="64" s="1"/>
  <c r="D22" i="62"/>
  <c r="G70" i="65" s="1"/>
  <c r="E22" i="62"/>
  <c r="H70" i="65" s="1"/>
  <c r="F22" i="62"/>
  <c r="I70" i="65" s="1"/>
  <c r="G22" i="62"/>
  <c r="J70" i="65" s="1"/>
  <c r="H22" i="62"/>
  <c r="C22" i="62"/>
  <c r="F70" i="65" s="1"/>
  <c r="K37" i="65" l="1"/>
  <c r="K70" i="65"/>
  <c r="F33" i="65"/>
  <c r="F34" i="65" s="1"/>
  <c r="K38" i="65" s="1"/>
  <c r="K19" i="65"/>
  <c r="B10" i="62" l="1"/>
  <c r="B9" i="62"/>
  <c r="B8" i="62"/>
  <c r="D10" i="62"/>
  <c r="D9" i="62"/>
  <c r="C9" i="62"/>
  <c r="C57" i="65" s="1"/>
  <c r="D8" i="62"/>
  <c r="C7" i="62"/>
  <c r="C55" i="65" s="1"/>
  <c r="D7" i="62"/>
  <c r="B7" i="62"/>
  <c r="B55" i="65" s="1"/>
  <c r="E55" i="65" s="1"/>
  <c r="D6" i="62"/>
  <c r="B6" i="62"/>
  <c r="B54" i="65" s="1"/>
  <c r="E54" i="65" s="1"/>
  <c r="C5" i="62"/>
  <c r="C53" i="65" s="1"/>
  <c r="D5" i="62"/>
  <c r="B5" i="62"/>
  <c r="B53" i="65" s="1"/>
  <c r="E53" i="65" s="1"/>
  <c r="C4" i="62"/>
  <c r="C52" i="65" s="1"/>
  <c r="D4" i="62"/>
  <c r="B4" i="62"/>
  <c r="B52" i="65" s="1"/>
  <c r="E52" i="65" s="1"/>
  <c r="C6" i="62"/>
  <c r="C54" i="65" s="1"/>
  <c r="B16" i="62" l="1"/>
  <c r="B64" i="65" s="1"/>
  <c r="E64" i="65" s="1"/>
  <c r="B56" i="65"/>
  <c r="E56" i="65" s="1"/>
  <c r="B17" i="62"/>
  <c r="B65" i="65" s="1"/>
  <c r="E65" i="65" s="1"/>
  <c r="B57" i="65"/>
  <c r="E57" i="65" s="1"/>
  <c r="B18" i="62"/>
  <c r="B66" i="65" s="1"/>
  <c r="B58" i="65"/>
  <c r="B12" i="62"/>
  <c r="B60" i="65" s="1"/>
  <c r="E60" i="65" s="1"/>
  <c r="B13" i="62"/>
  <c r="B61" i="65" s="1"/>
  <c r="E61" i="65" s="1"/>
  <c r="B14" i="62"/>
  <c r="B62" i="65" s="1"/>
  <c r="I10" i="58"/>
  <c r="I14" i="58" s="1"/>
  <c r="F5" i="65" l="1"/>
  <c r="F10" i="65"/>
  <c r="F13" i="65" s="1"/>
  <c r="C8" i="62"/>
  <c r="C56" i="65" s="1"/>
  <c r="C10" i="62"/>
  <c r="E52" i="59"/>
  <c r="E51" i="59"/>
  <c r="I5" i="57"/>
  <c r="E10" i="74" s="1"/>
  <c r="I28" i="59"/>
  <c r="I29" i="59" s="1"/>
  <c r="P12" i="71"/>
  <c r="C19" i="62" l="1"/>
  <c r="C67" i="65" s="1"/>
  <c r="C58" i="65"/>
  <c r="G141" i="58"/>
  <c r="G133" i="58"/>
  <c r="C41" i="59"/>
  <c r="C37" i="64" s="1"/>
  <c r="C4" i="64"/>
  <c r="C3" i="64"/>
  <c r="F7" i="65"/>
  <c r="F6" i="65"/>
  <c r="I141" i="58"/>
  <c r="I133" i="58"/>
  <c r="H141" i="58"/>
  <c r="H133" i="58"/>
  <c r="G4" i="59"/>
  <c r="H17" i="64" l="1"/>
  <c r="H24" i="64"/>
  <c r="J24" i="64" s="1"/>
  <c r="H13" i="64"/>
  <c r="J13" i="64" s="1"/>
  <c r="E8" i="64"/>
  <c r="H25" i="64"/>
  <c r="F58" i="65"/>
  <c r="F67" i="65" s="1"/>
  <c r="C23" i="62"/>
  <c r="G23" i="62"/>
  <c r="H23" i="62"/>
  <c r="I8" i="57" s="1"/>
  <c r="H10" i="74" s="1"/>
  <c r="F8" i="65"/>
  <c r="F14" i="65" s="1"/>
  <c r="H49" i="64"/>
  <c r="AH7" i="57"/>
  <c r="C7" i="57" s="1"/>
  <c r="G4" i="74" s="1"/>
  <c r="I17" i="64"/>
  <c r="D19" i="64"/>
  <c r="D20" i="64"/>
  <c r="D8" i="64"/>
  <c r="I8" i="64" s="1"/>
  <c r="I16" i="64" s="1"/>
  <c r="C10" i="64"/>
  <c r="H10" i="64" s="1"/>
  <c r="C11" i="64"/>
  <c r="H11" i="64" s="1"/>
  <c r="J11" i="64" s="1"/>
  <c r="C12" i="64"/>
  <c r="H12" i="64" s="1"/>
  <c r="J12" i="64" s="1"/>
  <c r="C14" i="64"/>
  <c r="H14" i="64" s="1"/>
  <c r="J14" i="64" s="1"/>
  <c r="C8" i="64"/>
  <c r="H8" i="64" s="1"/>
  <c r="H27" i="59"/>
  <c r="G6" i="59"/>
  <c r="G7" i="59"/>
  <c r="E11" i="64" s="1"/>
  <c r="G8" i="59"/>
  <c r="E12" i="64" s="1"/>
  <c r="G10" i="59"/>
  <c r="E14" i="64" s="1"/>
  <c r="D5" i="59"/>
  <c r="E5" i="59"/>
  <c r="C5" i="59"/>
  <c r="G5" i="59" l="1"/>
  <c r="E9" i="64" s="1"/>
  <c r="E10" i="64"/>
  <c r="J8" i="64"/>
  <c r="H9" i="64"/>
  <c r="H16" i="64" s="1"/>
  <c r="H20" i="64" s="1"/>
  <c r="J10" i="64"/>
  <c r="J9" i="64" s="1"/>
  <c r="I20" i="64"/>
  <c r="J17" i="64"/>
  <c r="H28" i="64"/>
  <c r="J25" i="64"/>
  <c r="J28" i="64" s="1"/>
  <c r="F71" i="65"/>
  <c r="D9" i="66" s="1"/>
  <c r="I5" i="75" s="1"/>
  <c r="J71" i="65"/>
  <c r="H9" i="66" s="1"/>
  <c r="I9" i="75" s="1"/>
  <c r="G71" i="65"/>
  <c r="E9" i="66" s="1"/>
  <c r="I6" i="75" s="1"/>
  <c r="H71" i="65"/>
  <c r="F9" i="66" s="1"/>
  <c r="I7" i="75" s="1"/>
  <c r="I71" i="65"/>
  <c r="G9" i="66" s="1"/>
  <c r="I8" i="75" s="1"/>
  <c r="K71" i="65"/>
  <c r="I9" i="66" s="1"/>
  <c r="I10" i="75" s="1"/>
  <c r="M31" i="64"/>
  <c r="F15" i="65"/>
  <c r="F16" i="65" s="1"/>
  <c r="J49" i="64"/>
  <c r="C9" i="64"/>
  <c r="G14" i="59"/>
  <c r="E18" i="64" s="1"/>
  <c r="G13" i="59"/>
  <c r="G11" i="59"/>
  <c r="E15" i="64" s="1"/>
  <c r="J16" i="64" l="1"/>
  <c r="J20" i="64"/>
  <c r="G12" i="59"/>
  <c r="E16" i="64" s="1"/>
  <c r="M32" i="64"/>
  <c r="E17" i="64"/>
  <c r="K20" i="65"/>
  <c r="I10" i="66" s="1"/>
  <c r="J10" i="75" s="1"/>
  <c r="C20" i="64"/>
  <c r="I5" i="66" s="1"/>
  <c r="E10" i="75" s="1"/>
  <c r="G15" i="59" l="1"/>
  <c r="E19" i="64" s="1"/>
  <c r="G16" i="59"/>
  <c r="E20" i="64" s="1"/>
  <c r="I37" i="58"/>
  <c r="I29" i="58"/>
  <c r="D43" i="64" l="1"/>
  <c r="I11" i="66" l="1"/>
  <c r="K10" i="75" s="1"/>
  <c r="C43" i="64"/>
  <c r="O14" i="71" l="1"/>
  <c r="O10" i="71"/>
  <c r="O11" i="71"/>
  <c r="O9" i="71"/>
  <c r="P9" i="71" s="1"/>
  <c r="P11" i="71" l="1"/>
  <c r="P10" i="71"/>
  <c r="P14" i="71"/>
  <c r="P15" i="71"/>
  <c r="D42" i="64"/>
  <c r="I42" i="64" s="1"/>
  <c r="C42" i="64"/>
  <c r="C47" i="59"/>
  <c r="D47" i="59"/>
  <c r="D53" i="59" s="1"/>
  <c r="E46" i="59"/>
  <c r="E43" i="64" s="1"/>
  <c r="C53" i="59" l="1"/>
  <c r="C50" i="64" s="1"/>
  <c r="K3" i="74"/>
  <c r="G37" i="65"/>
  <c r="G38" i="65" s="1"/>
  <c r="H37" i="65"/>
  <c r="H38" i="65" s="1"/>
  <c r="I37" i="65"/>
  <c r="I38" i="65" s="1"/>
  <c r="J37" i="65"/>
  <c r="J38" i="65" s="1"/>
  <c r="F37" i="65"/>
  <c r="F38" i="65" s="1"/>
  <c r="G19" i="65"/>
  <c r="G20" i="65" s="1"/>
  <c r="H19" i="65"/>
  <c r="H20" i="65" s="1"/>
  <c r="I19" i="65"/>
  <c r="I20" i="65" s="1"/>
  <c r="J19" i="65"/>
  <c r="J20" i="65" s="1"/>
  <c r="F19" i="65"/>
  <c r="F20" i="65" s="1"/>
  <c r="M53" i="64"/>
  <c r="AF26" i="62"/>
  <c r="AI74" i="65" s="1"/>
  <c r="AI75" i="65" s="1"/>
  <c r="AG9" i="66" s="1"/>
  <c r="I34" i="75" s="1"/>
  <c r="S53" i="64" l="1"/>
  <c r="W26" i="62"/>
  <c r="Z74" i="65" s="1"/>
  <c r="Z75" i="65" s="1"/>
  <c r="X9" i="66" s="1"/>
  <c r="I25" i="75" s="1"/>
  <c r="S26" i="62"/>
  <c r="V74" i="65" s="1"/>
  <c r="V75" i="65" s="1"/>
  <c r="T9" i="66" s="1"/>
  <c r="I21" i="75" s="1"/>
  <c r="O26" i="62"/>
  <c r="R74" i="65" s="1"/>
  <c r="R75" i="65" s="1"/>
  <c r="P9" i="66" s="1"/>
  <c r="I17" i="75" s="1"/>
  <c r="O53" i="64"/>
  <c r="K26" i="62"/>
  <c r="N74" i="65" s="1"/>
  <c r="N75" i="65" s="1"/>
  <c r="L9" i="66" s="1"/>
  <c r="I13" i="75" s="1"/>
  <c r="AI53" i="64"/>
  <c r="AE53" i="64"/>
  <c r="AA53" i="64"/>
  <c r="AE26" i="62"/>
  <c r="AH74" i="65" s="1"/>
  <c r="AH75" i="65" s="1"/>
  <c r="AF9" i="66" s="1"/>
  <c r="I33" i="75" s="1"/>
  <c r="W53" i="64"/>
  <c r="AA26" i="62"/>
  <c r="AD74" i="65" s="1"/>
  <c r="AD75" i="65" s="1"/>
  <c r="AB9" i="66" s="1"/>
  <c r="I29" i="75" s="1"/>
  <c r="AD53" i="64"/>
  <c r="V53" i="64"/>
  <c r="N53" i="64"/>
  <c r="AD26" i="62"/>
  <c r="AG74" i="65" s="1"/>
  <c r="AG75" i="65" s="1"/>
  <c r="AE9" i="66" s="1"/>
  <c r="I32" i="75" s="1"/>
  <c r="V26" i="62"/>
  <c r="Y74" i="65" s="1"/>
  <c r="Y75" i="65" s="1"/>
  <c r="W9" i="66" s="1"/>
  <c r="I24" i="75" s="1"/>
  <c r="N26" i="62"/>
  <c r="Q74" i="65" s="1"/>
  <c r="Q75" i="65" s="1"/>
  <c r="O9" i="66" s="1"/>
  <c r="I16" i="75" s="1"/>
  <c r="AK53" i="64"/>
  <c r="AC53" i="64"/>
  <c r="U53" i="64"/>
  <c r="AC26" i="62"/>
  <c r="AF74" i="65" s="1"/>
  <c r="AF75" i="65" s="1"/>
  <c r="AD9" i="66" s="1"/>
  <c r="I31" i="75" s="1"/>
  <c r="U26" i="62"/>
  <c r="X74" i="65" s="1"/>
  <c r="X75" i="65" s="1"/>
  <c r="V9" i="66" s="1"/>
  <c r="I23" i="75" s="1"/>
  <c r="M26" i="62"/>
  <c r="P74" i="65" s="1"/>
  <c r="P75" i="65" s="1"/>
  <c r="N9" i="66" s="1"/>
  <c r="I15" i="75" s="1"/>
  <c r="AJ53" i="64"/>
  <c r="AB53" i="64"/>
  <c r="T53" i="64"/>
  <c r="AB26" i="62"/>
  <c r="AE74" i="65" s="1"/>
  <c r="AE75" i="65" s="1"/>
  <c r="AC9" i="66" s="1"/>
  <c r="I30" i="75" s="1"/>
  <c r="T26" i="62"/>
  <c r="W74" i="65" s="1"/>
  <c r="W75" i="65" s="1"/>
  <c r="U9" i="66" s="1"/>
  <c r="I22" i="75" s="1"/>
  <c r="L26" i="62"/>
  <c r="O74" i="65" s="1"/>
  <c r="O75" i="65" s="1"/>
  <c r="M9" i="66" s="1"/>
  <c r="I14" i="75" s="1"/>
  <c r="AH53" i="64"/>
  <c r="Z53" i="64"/>
  <c r="R53" i="64"/>
  <c r="Z26" i="62"/>
  <c r="AC74" i="65" s="1"/>
  <c r="AC75" i="65" s="1"/>
  <c r="AA9" i="66" s="1"/>
  <c r="I28" i="75" s="1"/>
  <c r="R26" i="62"/>
  <c r="U74" i="65" s="1"/>
  <c r="U75" i="65" s="1"/>
  <c r="S9" i="66" s="1"/>
  <c r="I20" i="75" s="1"/>
  <c r="J26" i="62"/>
  <c r="M74" i="65" s="1"/>
  <c r="M75" i="65" s="1"/>
  <c r="K9" i="66" s="1"/>
  <c r="I12" i="75" s="1"/>
  <c r="AG53" i="64"/>
  <c r="Y53" i="64"/>
  <c r="Q53" i="64"/>
  <c r="Y26" i="62"/>
  <c r="AB74" i="65" s="1"/>
  <c r="AB75" i="65" s="1"/>
  <c r="Z9" i="66" s="1"/>
  <c r="I27" i="75" s="1"/>
  <c r="Q26" i="62"/>
  <c r="T74" i="65" s="1"/>
  <c r="T75" i="65" s="1"/>
  <c r="R9" i="66" s="1"/>
  <c r="I19" i="75" s="1"/>
  <c r="I26" i="62"/>
  <c r="AF53" i="64"/>
  <c r="X53" i="64"/>
  <c r="P53" i="64"/>
  <c r="X26" i="62"/>
  <c r="AA74" i="65" s="1"/>
  <c r="AA75" i="65" s="1"/>
  <c r="Y9" i="66" s="1"/>
  <c r="I26" i="75" s="1"/>
  <c r="P26" i="62"/>
  <c r="S74" i="65" s="1"/>
  <c r="S75" i="65" s="1"/>
  <c r="Q9" i="66" s="1"/>
  <c r="I18" i="75" s="1"/>
  <c r="L41" i="65" l="1"/>
  <c r="L42" i="65" s="1"/>
  <c r="L74" i="65"/>
  <c r="L75" i="65" s="1"/>
  <c r="J9" i="66" s="1"/>
  <c r="I11" i="75" s="1"/>
  <c r="L23" i="65"/>
  <c r="L24" i="65" s="1"/>
  <c r="M23" i="65"/>
  <c r="M24" i="65" s="1"/>
  <c r="M41" i="65"/>
  <c r="M42" i="65" s="1"/>
  <c r="N23" i="65" l="1"/>
  <c r="N24" i="65" s="1"/>
  <c r="N41" i="65"/>
  <c r="N42" i="65" s="1"/>
  <c r="O23" i="65" l="1"/>
  <c r="O24" i="65" s="1"/>
  <c r="O41" i="65"/>
  <c r="O42" i="65" s="1"/>
  <c r="P23" i="65" l="1"/>
  <c r="P24" i="65" s="1"/>
  <c r="P41" i="65"/>
  <c r="P42" i="65" s="1"/>
  <c r="Q23" i="65" l="1"/>
  <c r="Q24" i="65" s="1"/>
  <c r="Q41" i="65"/>
  <c r="Q42" i="65" s="1"/>
  <c r="R41" i="65" l="1"/>
  <c r="R42" i="65" s="1"/>
  <c r="R23" i="65"/>
  <c r="R24" i="65" s="1"/>
  <c r="S41" i="65" l="1"/>
  <c r="S42" i="65" s="1"/>
  <c r="S23" i="65"/>
  <c r="S24" i="65" s="1"/>
  <c r="T41" i="65" l="1"/>
  <c r="T42" i="65" s="1"/>
  <c r="T23" i="65"/>
  <c r="T24" i="65" s="1"/>
  <c r="U23" i="65" l="1"/>
  <c r="U24" i="65" s="1"/>
  <c r="U41" i="65"/>
  <c r="U42" i="65" s="1"/>
  <c r="V23" i="65" l="1"/>
  <c r="V24" i="65" s="1"/>
  <c r="V41" i="65"/>
  <c r="V42" i="65" s="1"/>
  <c r="W23" i="65" l="1"/>
  <c r="W24" i="65" s="1"/>
  <c r="W41" i="65"/>
  <c r="W42" i="65" s="1"/>
  <c r="X23" i="65" l="1"/>
  <c r="X24" i="65" s="1"/>
  <c r="X41" i="65"/>
  <c r="X42" i="65" s="1"/>
  <c r="Y23" i="65" l="1"/>
  <c r="Y24" i="65" s="1"/>
  <c r="Y41" i="65"/>
  <c r="Y42" i="65" s="1"/>
  <c r="Z41" i="65" l="1"/>
  <c r="Z42" i="65" s="1"/>
  <c r="Z23" i="65"/>
  <c r="Z24" i="65" s="1"/>
  <c r="AA41" i="65" l="1"/>
  <c r="AA42" i="65" s="1"/>
  <c r="AA23" i="65"/>
  <c r="AA24" i="65" s="1"/>
  <c r="AB41" i="65" l="1"/>
  <c r="AB42" i="65" s="1"/>
  <c r="AB23" i="65"/>
  <c r="AB24" i="65" s="1"/>
  <c r="AC23" i="65" l="1"/>
  <c r="AC24" i="65" s="1"/>
  <c r="AC41" i="65"/>
  <c r="AC42" i="65" s="1"/>
  <c r="AD23" i="65" l="1"/>
  <c r="AD24" i="65" s="1"/>
  <c r="AD41" i="65"/>
  <c r="AD42" i="65" s="1"/>
  <c r="AE41" i="65" l="1"/>
  <c r="AE42" i="65" s="1"/>
  <c r="AE23" i="65"/>
  <c r="AE24" i="65" s="1"/>
  <c r="AF23" i="65" l="1"/>
  <c r="AF24" i="65" s="1"/>
  <c r="AF41" i="65"/>
  <c r="AF42" i="65" s="1"/>
  <c r="AG23" i="65" l="1"/>
  <c r="AG24" i="65" s="1"/>
  <c r="AG41" i="65"/>
  <c r="AG42" i="65" s="1"/>
  <c r="AH41" i="65" l="1"/>
  <c r="AH42" i="65" s="1"/>
  <c r="AH23" i="65"/>
  <c r="AH24" i="65" s="1"/>
  <c r="AI41" i="65" l="1"/>
  <c r="AI42" i="65" s="1"/>
  <c r="AI23" i="65"/>
  <c r="AI24" i="65" s="1"/>
  <c r="I43" i="64" l="1"/>
  <c r="D45" i="64"/>
  <c r="I45" i="64" s="1"/>
  <c r="D46" i="64"/>
  <c r="I46" i="64" s="1"/>
  <c r="I44" i="64" s="1"/>
  <c r="D47" i="64"/>
  <c r="I47" i="64" s="1"/>
  <c r="D48" i="64"/>
  <c r="I48" i="64" s="1"/>
  <c r="C45" i="64"/>
  <c r="C46" i="64"/>
  <c r="C47" i="64"/>
  <c r="C48" i="64"/>
  <c r="I50" i="64" l="1"/>
  <c r="G10" i="66"/>
  <c r="J8" i="75" s="1"/>
  <c r="H10" i="66"/>
  <c r="J9" i="75" s="1"/>
  <c r="AG14" i="66"/>
  <c r="AF14" i="66"/>
  <c r="AE14" i="66"/>
  <c r="AD14" i="66"/>
  <c r="AC14" i="66"/>
  <c r="AB14" i="66"/>
  <c r="AA14" i="66"/>
  <c r="Z14" i="66"/>
  <c r="Y14" i="66"/>
  <c r="X14" i="66"/>
  <c r="W14" i="66"/>
  <c r="V14" i="66"/>
  <c r="U14" i="66"/>
  <c r="T14" i="66"/>
  <c r="S14" i="66"/>
  <c r="R14" i="66"/>
  <c r="Q14" i="66"/>
  <c r="P14" i="66"/>
  <c r="O14" i="66"/>
  <c r="N14" i="66"/>
  <c r="M14" i="66"/>
  <c r="L14" i="66"/>
  <c r="K14" i="66"/>
  <c r="J14" i="66"/>
  <c r="I14" i="66"/>
  <c r="H14" i="66"/>
  <c r="N9" i="75" s="1"/>
  <c r="G14" i="66"/>
  <c r="N8" i="75" s="1"/>
  <c r="F14" i="66"/>
  <c r="E14" i="66"/>
  <c r="D14" i="66"/>
  <c r="AG11" i="57"/>
  <c r="E48" i="59"/>
  <c r="E45" i="64" s="1"/>
  <c r="E49" i="59"/>
  <c r="E46" i="64" s="1"/>
  <c r="E50" i="59"/>
  <c r="E47" i="64" s="1"/>
  <c r="E48" i="64"/>
  <c r="E45" i="59"/>
  <c r="D44" i="64"/>
  <c r="S34" i="75" l="1"/>
  <c r="N34" i="75"/>
  <c r="S33" i="75"/>
  <c r="N33" i="75"/>
  <c r="S32" i="75"/>
  <c r="N32" i="75"/>
  <c r="S31" i="75"/>
  <c r="N31" i="75"/>
  <c r="S30" i="75"/>
  <c r="N30" i="75"/>
  <c r="S29" i="75"/>
  <c r="N29" i="75"/>
  <c r="S28" i="75"/>
  <c r="N28" i="75"/>
  <c r="S27" i="75"/>
  <c r="N27" i="75"/>
  <c r="S26" i="75"/>
  <c r="N26" i="75"/>
  <c r="S25" i="75"/>
  <c r="N25" i="75"/>
  <c r="S24" i="75"/>
  <c r="N24" i="75"/>
  <c r="S23" i="75"/>
  <c r="N23" i="75"/>
  <c r="S22" i="75"/>
  <c r="N22" i="75"/>
  <c r="S21" i="75"/>
  <c r="N21" i="75"/>
  <c r="S20" i="75"/>
  <c r="N20" i="75"/>
  <c r="S19" i="75"/>
  <c r="N19" i="75"/>
  <c r="S18" i="75"/>
  <c r="N18" i="75"/>
  <c r="S17" i="75"/>
  <c r="N17" i="75"/>
  <c r="S16" i="75"/>
  <c r="N16" i="75"/>
  <c r="S15" i="75"/>
  <c r="N15" i="75"/>
  <c r="S14" i="75"/>
  <c r="N14" i="75"/>
  <c r="S13" i="75"/>
  <c r="N13" i="75"/>
  <c r="S12" i="75"/>
  <c r="N12" i="75"/>
  <c r="S11" i="75"/>
  <c r="N11" i="75"/>
  <c r="I19" i="66"/>
  <c r="S10" i="75" s="1"/>
  <c r="N10" i="75"/>
  <c r="N7" i="75"/>
  <c r="N6" i="75"/>
  <c r="N5" i="75"/>
  <c r="AH18" i="57"/>
  <c r="R35" i="74" s="1"/>
  <c r="K34" i="74"/>
  <c r="E42" i="64"/>
  <c r="H42" i="64"/>
  <c r="H37" i="64"/>
  <c r="AH7" i="66" s="1"/>
  <c r="G35" i="75" s="1"/>
  <c r="E10" i="66"/>
  <c r="J6" i="75" s="1"/>
  <c r="N10" i="66"/>
  <c r="J15" i="75" s="1"/>
  <c r="L10" i="66"/>
  <c r="J13" i="75" s="1"/>
  <c r="R10" i="66"/>
  <c r="J19" i="75" s="1"/>
  <c r="Y11" i="66"/>
  <c r="K26" i="75" s="1"/>
  <c r="W11" i="66"/>
  <c r="K24" i="75" s="1"/>
  <c r="F11" i="66"/>
  <c r="K7" i="75" s="1"/>
  <c r="P10" i="66"/>
  <c r="J17" i="75" s="1"/>
  <c r="Q10" i="66"/>
  <c r="J18" i="75" s="1"/>
  <c r="X10" i="66"/>
  <c r="J25" i="75" s="1"/>
  <c r="J10" i="66"/>
  <c r="J11" i="75" s="1"/>
  <c r="Q11" i="66"/>
  <c r="K18" i="75" s="1"/>
  <c r="O11" i="66"/>
  <c r="K16" i="75" s="1"/>
  <c r="AC11" i="66"/>
  <c r="K30" i="75" s="1"/>
  <c r="AE10" i="66"/>
  <c r="J32" i="75" s="1"/>
  <c r="AC10" i="66"/>
  <c r="J30" i="75" s="1"/>
  <c r="AA10" i="66"/>
  <c r="J28" i="75" s="1"/>
  <c r="D11" i="66"/>
  <c r="AA11" i="66"/>
  <c r="K28" i="75" s="1"/>
  <c r="U11" i="66"/>
  <c r="K22" i="75" s="1"/>
  <c r="W10" i="66"/>
  <c r="J24" i="75" s="1"/>
  <c r="U10" i="66"/>
  <c r="J22" i="75" s="1"/>
  <c r="S10" i="66"/>
  <c r="J20" i="75" s="1"/>
  <c r="Z11" i="66"/>
  <c r="K27" i="75" s="1"/>
  <c r="AF11" i="66"/>
  <c r="K33" i="75" s="1"/>
  <c r="G11" i="66"/>
  <c r="K8" i="75" s="1"/>
  <c r="M11" i="66"/>
  <c r="K14" i="75" s="1"/>
  <c r="D10" i="66"/>
  <c r="J5" i="75" s="1"/>
  <c r="O10" i="66"/>
  <c r="J16" i="75" s="1"/>
  <c r="M10" i="66"/>
  <c r="J14" i="75" s="1"/>
  <c r="K10" i="66"/>
  <c r="J12" i="75" s="1"/>
  <c r="R11" i="66"/>
  <c r="K19" i="75" s="1"/>
  <c r="X11" i="66"/>
  <c r="K25" i="75" s="1"/>
  <c r="AD11" i="66"/>
  <c r="K31" i="75" s="1"/>
  <c r="E11" i="66"/>
  <c r="K6" i="75" s="1"/>
  <c r="AF10" i="66"/>
  <c r="J33" i="75" s="1"/>
  <c r="Y10" i="66"/>
  <c r="J26" i="75" s="1"/>
  <c r="AG10" i="66"/>
  <c r="J34" i="75" s="1"/>
  <c r="J11" i="66"/>
  <c r="K11" i="75" s="1"/>
  <c r="P11" i="66"/>
  <c r="K17" i="75" s="1"/>
  <c r="V11" i="66"/>
  <c r="K23" i="75" s="1"/>
  <c r="AB11" i="66"/>
  <c r="K29" i="75" s="1"/>
  <c r="AD10" i="66"/>
  <c r="J31" i="75" s="1"/>
  <c r="AB10" i="66"/>
  <c r="J29" i="75" s="1"/>
  <c r="S11" i="66"/>
  <c r="K20" i="75" s="1"/>
  <c r="H11" i="66"/>
  <c r="K9" i="75" s="1"/>
  <c r="N11" i="66"/>
  <c r="K15" i="75" s="1"/>
  <c r="T11" i="66"/>
  <c r="K21" i="75" s="1"/>
  <c r="F10" i="66"/>
  <c r="J7" i="75" s="1"/>
  <c r="V10" i="66"/>
  <c r="J23" i="75" s="1"/>
  <c r="T10" i="66"/>
  <c r="J21" i="75" s="1"/>
  <c r="Z10" i="66"/>
  <c r="J27" i="75" s="1"/>
  <c r="AG11" i="66"/>
  <c r="K34" i="75" s="1"/>
  <c r="AE11" i="66"/>
  <c r="K32" i="75" s="1"/>
  <c r="K11" i="66"/>
  <c r="K12" i="75" s="1"/>
  <c r="L11" i="66"/>
  <c r="K13" i="75" s="1"/>
  <c r="D23" i="62"/>
  <c r="E8" i="57" s="1"/>
  <c r="H6" i="74" s="1"/>
  <c r="H8" i="57"/>
  <c r="H9" i="74" s="1"/>
  <c r="I27" i="62"/>
  <c r="J8" i="57" s="1"/>
  <c r="H11" i="74" s="1"/>
  <c r="J27" i="62"/>
  <c r="K8" i="57" s="1"/>
  <c r="H12" i="74" s="1"/>
  <c r="P27" i="62"/>
  <c r="Q8" i="57" s="1"/>
  <c r="H18" i="74" s="1"/>
  <c r="O27" i="62"/>
  <c r="P8" i="57" s="1"/>
  <c r="H17" i="74" s="1"/>
  <c r="K27" i="62"/>
  <c r="L8" i="57" s="1"/>
  <c r="H13" i="74" s="1"/>
  <c r="L27" i="62"/>
  <c r="M8" i="57" s="1"/>
  <c r="H14" i="74" s="1"/>
  <c r="M27" i="62"/>
  <c r="N8" i="57" s="1"/>
  <c r="H15" i="74" s="1"/>
  <c r="N27" i="62"/>
  <c r="O8" i="57" s="1"/>
  <c r="H16" i="74" s="1"/>
  <c r="Q27" i="62"/>
  <c r="R8" i="57" s="1"/>
  <c r="H19" i="74" s="1"/>
  <c r="R27" i="62"/>
  <c r="S8" i="57" s="1"/>
  <c r="H20" i="74" s="1"/>
  <c r="S27" i="62"/>
  <c r="T8" i="57" s="1"/>
  <c r="H21" i="74" s="1"/>
  <c r="T27" i="62"/>
  <c r="U8" i="57" s="1"/>
  <c r="H22" i="74" s="1"/>
  <c r="U27" i="62"/>
  <c r="V8" i="57" s="1"/>
  <c r="H23" i="74" s="1"/>
  <c r="V27" i="62"/>
  <c r="W8" i="57" s="1"/>
  <c r="H24" i="74" s="1"/>
  <c r="W27" i="62"/>
  <c r="X8" i="57" s="1"/>
  <c r="H25" i="74" s="1"/>
  <c r="X27" i="62"/>
  <c r="Y8" i="57" s="1"/>
  <c r="H26" i="74" s="1"/>
  <c r="Y27" i="62"/>
  <c r="Z8" i="57" s="1"/>
  <c r="H27" i="74" s="1"/>
  <c r="Z27" i="62"/>
  <c r="AA8" i="57" s="1"/>
  <c r="H28" i="74" s="1"/>
  <c r="AA27" i="62"/>
  <c r="AB8" i="57" s="1"/>
  <c r="H29" i="74" s="1"/>
  <c r="AB27" i="62"/>
  <c r="AC8" i="57" s="1"/>
  <c r="H30" i="74" s="1"/>
  <c r="AC27" i="62"/>
  <c r="AD8" i="57" s="1"/>
  <c r="H31" i="74" s="1"/>
  <c r="AD27" i="62"/>
  <c r="AE8" i="57" s="1"/>
  <c r="H32" i="74" s="1"/>
  <c r="AF27" i="62"/>
  <c r="AG8" i="57" s="1"/>
  <c r="H34" i="74" s="1"/>
  <c r="AE27" i="62"/>
  <c r="AF8" i="57" s="1"/>
  <c r="H33" i="74" s="1"/>
  <c r="C44" i="64"/>
  <c r="D50" i="64"/>
  <c r="H43" i="64"/>
  <c r="J43" i="64" s="1"/>
  <c r="H45" i="64"/>
  <c r="H47" i="64"/>
  <c r="J47" i="64" s="1"/>
  <c r="H48" i="64"/>
  <c r="J48" i="64" s="1"/>
  <c r="H46" i="64"/>
  <c r="J46" i="64" s="1"/>
  <c r="E47" i="59"/>
  <c r="E53" i="59" s="1"/>
  <c r="D8" i="57"/>
  <c r="H5" i="74" s="1"/>
  <c r="F23" i="62"/>
  <c r="G8" i="57" s="1"/>
  <c r="H8" i="74" s="1"/>
  <c r="E23" i="62"/>
  <c r="F8" i="57" s="1"/>
  <c r="H7" i="74" s="1"/>
  <c r="F5" i="59"/>
  <c r="D9" i="64" s="1"/>
  <c r="E49" i="64" l="1"/>
  <c r="C58" i="59"/>
  <c r="D6" i="57" s="1"/>
  <c r="F5" i="74" s="1"/>
  <c r="E58" i="59"/>
  <c r="F6" i="57" s="1"/>
  <c r="F7" i="74" s="1"/>
  <c r="D58" i="59"/>
  <c r="E6" i="57" s="1"/>
  <c r="F6" i="74" s="1"/>
  <c r="K5" i="75"/>
  <c r="F58" i="59"/>
  <c r="G6" i="57" s="1"/>
  <c r="F8" i="74" s="1"/>
  <c r="G58" i="59"/>
  <c r="H6" i="57" s="1"/>
  <c r="F9" i="74" s="1"/>
  <c r="E50" i="64"/>
  <c r="E44" i="64"/>
  <c r="AE24" i="66"/>
  <c r="X32" i="75" s="1"/>
  <c r="Z25" i="66"/>
  <c r="Y27" i="75" s="1"/>
  <c r="J24" i="66"/>
  <c r="X11" i="75" s="1"/>
  <c r="L24" i="66"/>
  <c r="X13" i="75" s="1"/>
  <c r="M24" i="66"/>
  <c r="X14" i="75" s="1"/>
  <c r="AB24" i="66"/>
  <c r="X29" i="75" s="1"/>
  <c r="S25" i="66"/>
  <c r="Y20" i="75" s="1"/>
  <c r="Y24" i="66"/>
  <c r="X26" i="75" s="1"/>
  <c r="E24" i="66"/>
  <c r="X6" i="75" s="1"/>
  <c r="Q24" i="66"/>
  <c r="X18" i="75" s="1"/>
  <c r="U24" i="66"/>
  <c r="X22" i="75" s="1"/>
  <c r="AA24" i="66"/>
  <c r="X28" i="75" s="1"/>
  <c r="J25" i="66"/>
  <c r="Y11" i="75" s="1"/>
  <c r="Z24" i="66"/>
  <c r="X27" i="75" s="1"/>
  <c r="AC24" i="66"/>
  <c r="X30" i="75" s="1"/>
  <c r="G25" i="66"/>
  <c r="Y8" i="75" s="1"/>
  <c r="V25" i="66"/>
  <c r="Y23" i="75" s="1"/>
  <c r="F25" i="66"/>
  <c r="Y7" i="75" s="1"/>
  <c r="AF25" i="66"/>
  <c r="Y33" i="75" s="1"/>
  <c r="N24" i="66"/>
  <c r="X15" i="75" s="1"/>
  <c r="H25" i="66"/>
  <c r="Y9" i="75" s="1"/>
  <c r="X25" i="66"/>
  <c r="Y25" i="75" s="1"/>
  <c r="J42" i="64"/>
  <c r="AG25" i="66"/>
  <c r="Y34" i="75" s="1"/>
  <c r="N25" i="66"/>
  <c r="Y15" i="75" s="1"/>
  <c r="H24" i="66"/>
  <c r="X9" i="75" s="1"/>
  <c r="E25" i="66"/>
  <c r="Y6" i="75" s="1"/>
  <c r="D25" i="66"/>
  <c r="Y5" i="75" s="1"/>
  <c r="K25" i="66"/>
  <c r="Y12" i="75" s="1"/>
  <c r="AE25" i="66"/>
  <c r="Y32" i="75" s="1"/>
  <c r="P25" i="66"/>
  <c r="Y17" i="75" s="1"/>
  <c r="AD25" i="66"/>
  <c r="Y31" i="75" s="1"/>
  <c r="I25" i="66"/>
  <c r="Y10" i="75" s="1"/>
  <c r="R25" i="66"/>
  <c r="Y19" i="75" s="1"/>
  <c r="L25" i="66"/>
  <c r="Y13" i="75" s="1"/>
  <c r="AB25" i="66"/>
  <c r="Y29" i="75" s="1"/>
  <c r="AA25" i="66"/>
  <c r="Y28" i="75" s="1"/>
  <c r="M25" i="66"/>
  <c r="Y14" i="75" s="1"/>
  <c r="AG24" i="66"/>
  <c r="X34" i="75" s="1"/>
  <c r="S24" i="66"/>
  <c r="X20" i="75" s="1"/>
  <c r="X24" i="66"/>
  <c r="X25" i="75" s="1"/>
  <c r="I24" i="66"/>
  <c r="X10" i="75" s="1"/>
  <c r="K24" i="66"/>
  <c r="X12" i="75" s="1"/>
  <c r="P24" i="66"/>
  <c r="X17" i="75" s="1"/>
  <c r="T24" i="66"/>
  <c r="X21" i="75" s="1"/>
  <c r="T25" i="66"/>
  <c r="Y21" i="75" s="1"/>
  <c r="R24" i="66"/>
  <c r="X19" i="75" s="1"/>
  <c r="Q25" i="66"/>
  <c r="Y18" i="75" s="1"/>
  <c r="AC25" i="66"/>
  <c r="Y30" i="75" s="1"/>
  <c r="O25" i="66"/>
  <c r="Y16" i="75" s="1"/>
  <c r="C11" i="66"/>
  <c r="W25" i="66"/>
  <c r="Y24" i="75" s="1"/>
  <c r="U25" i="66"/>
  <c r="Y22" i="75" s="1"/>
  <c r="Y25" i="66"/>
  <c r="Y26" i="75" s="1"/>
  <c r="F24" i="66"/>
  <c r="X7" i="75" s="1"/>
  <c r="D24" i="66"/>
  <c r="X5" i="75" s="1"/>
  <c r="G24" i="66"/>
  <c r="X8" i="75" s="1"/>
  <c r="O24" i="66"/>
  <c r="X16" i="75" s="1"/>
  <c r="V24" i="66"/>
  <c r="X23" i="75" s="1"/>
  <c r="AF24" i="66"/>
  <c r="X33" i="75" s="1"/>
  <c r="C10" i="66"/>
  <c r="AD24" i="66"/>
  <c r="X31" i="75" s="1"/>
  <c r="W24" i="66"/>
  <c r="X24" i="75" s="1"/>
  <c r="AH21" i="66"/>
  <c r="U35" i="75" s="1"/>
  <c r="I8" i="66"/>
  <c r="H10" i="75" s="1"/>
  <c r="J45" i="64"/>
  <c r="J44" i="64" s="1"/>
  <c r="H44" i="64"/>
  <c r="H50" i="64" s="1"/>
  <c r="C7" i="66"/>
  <c r="G4" i="75" s="1"/>
  <c r="D8" i="66"/>
  <c r="H5" i="75" s="1"/>
  <c r="K4" i="75" l="1"/>
  <c r="J4" i="75"/>
  <c r="X58" i="59"/>
  <c r="AF58" i="59"/>
  <c r="AG6" i="57" s="1"/>
  <c r="AG19" i="57"/>
  <c r="S34" i="74" s="1"/>
  <c r="AG8" i="66"/>
  <c r="H34" i="75" s="1"/>
  <c r="V58" i="59"/>
  <c r="AC58" i="59"/>
  <c r="M58" i="59"/>
  <c r="N58" i="59"/>
  <c r="AB58" i="59"/>
  <c r="T58" i="59"/>
  <c r="L58" i="59"/>
  <c r="AD58" i="59"/>
  <c r="K58" i="59"/>
  <c r="AE58" i="59"/>
  <c r="Z58" i="59"/>
  <c r="R58" i="59"/>
  <c r="J58" i="59"/>
  <c r="H58" i="59"/>
  <c r="AA58" i="59"/>
  <c r="Y58" i="59"/>
  <c r="U58" i="59"/>
  <c r="S58" i="59"/>
  <c r="Q58" i="59"/>
  <c r="I58" i="59"/>
  <c r="W58" i="59"/>
  <c r="O58" i="59"/>
  <c r="P58" i="59"/>
  <c r="F8" i="66"/>
  <c r="H7" i="75" s="1"/>
  <c r="M8" i="66"/>
  <c r="H14" i="75" s="1"/>
  <c r="AF8" i="66"/>
  <c r="H33" i="75" s="1"/>
  <c r="T8" i="66"/>
  <c r="H21" i="75" s="1"/>
  <c r="E8" i="66"/>
  <c r="H6" i="75" s="1"/>
  <c r="J8" i="66"/>
  <c r="H11" i="75" s="1"/>
  <c r="U8" i="66"/>
  <c r="H22" i="75" s="1"/>
  <c r="AE8" i="66"/>
  <c r="H32" i="75" s="1"/>
  <c r="R8" i="66"/>
  <c r="H19" i="75" s="1"/>
  <c r="Y8" i="66"/>
  <c r="H26" i="75" s="1"/>
  <c r="W8" i="66"/>
  <c r="H24" i="75" s="1"/>
  <c r="AC8" i="66"/>
  <c r="H30" i="75" s="1"/>
  <c r="I23" i="66"/>
  <c r="W10" i="75" s="1"/>
  <c r="Z8" i="66"/>
  <c r="H27" i="75" s="1"/>
  <c r="Q8" i="66"/>
  <c r="H18" i="75" s="1"/>
  <c r="G8" i="66"/>
  <c r="H8" i="75" s="1"/>
  <c r="L8" i="66"/>
  <c r="H13" i="75" s="1"/>
  <c r="N8" i="66"/>
  <c r="H15" i="75" s="1"/>
  <c r="K8" i="66"/>
  <c r="H12" i="75" s="1"/>
  <c r="H8" i="66"/>
  <c r="H9" i="75" s="1"/>
  <c r="AB8" i="66"/>
  <c r="H29" i="75" s="1"/>
  <c r="V8" i="66"/>
  <c r="H23" i="75" s="1"/>
  <c r="X8" i="66"/>
  <c r="H25" i="75" s="1"/>
  <c r="S8" i="66"/>
  <c r="H20" i="75" s="1"/>
  <c r="P8" i="66"/>
  <c r="H17" i="75" s="1"/>
  <c r="D23" i="66"/>
  <c r="W5" i="75" s="1"/>
  <c r="AD8" i="66"/>
  <c r="H31" i="75" s="1"/>
  <c r="O8" i="66"/>
  <c r="H16" i="75" s="1"/>
  <c r="AA8" i="66"/>
  <c r="H28" i="75" s="1"/>
  <c r="C21" i="66"/>
  <c r="U4" i="75" s="1"/>
  <c r="C25" i="66"/>
  <c r="C18" i="57"/>
  <c r="R4" i="74" s="1"/>
  <c r="C24" i="66"/>
  <c r="C8" i="57"/>
  <c r="J50" i="64"/>
  <c r="J54" i="64" l="1"/>
  <c r="F6" i="66" s="1"/>
  <c r="I54" i="64"/>
  <c r="E6" i="66" s="1"/>
  <c r="H54" i="64"/>
  <c r="D6" i="66" s="1"/>
  <c r="AG4" i="57"/>
  <c r="D34" i="74" s="1"/>
  <c r="F34" i="74"/>
  <c r="X4" i="75"/>
  <c r="Y4" i="75"/>
  <c r="H4" i="74"/>
  <c r="K54" i="64"/>
  <c r="G6" i="66" s="1"/>
  <c r="L54" i="64"/>
  <c r="H6" i="66" s="1"/>
  <c r="AG23" i="66"/>
  <c r="W34" i="75" s="1"/>
  <c r="AG22" i="66"/>
  <c r="V34" i="75" s="1"/>
  <c r="C9" i="66"/>
  <c r="AD23" i="66"/>
  <c r="W31" i="75" s="1"/>
  <c r="T23" i="66"/>
  <c r="W21" i="75" s="1"/>
  <c r="X23" i="66"/>
  <c r="W25" i="75" s="1"/>
  <c r="K23" i="66"/>
  <c r="W12" i="75" s="1"/>
  <c r="Q23" i="66"/>
  <c r="W18" i="75" s="1"/>
  <c r="W23" i="66"/>
  <c r="W24" i="75" s="1"/>
  <c r="U23" i="66"/>
  <c r="W22" i="75" s="1"/>
  <c r="AF23" i="66"/>
  <c r="W33" i="75" s="1"/>
  <c r="H23" i="66"/>
  <c r="W9" i="75" s="1"/>
  <c r="D22" i="66"/>
  <c r="V5" i="75" s="1"/>
  <c r="V23" i="66"/>
  <c r="W23" i="75" s="1"/>
  <c r="N23" i="66"/>
  <c r="W15" i="75" s="1"/>
  <c r="Z23" i="66"/>
  <c r="W27" i="75" s="1"/>
  <c r="Y23" i="66"/>
  <c r="W26" i="75" s="1"/>
  <c r="J23" i="66"/>
  <c r="W11" i="75" s="1"/>
  <c r="M23" i="66"/>
  <c r="W14" i="75" s="1"/>
  <c r="AC23" i="66"/>
  <c r="W30" i="75" s="1"/>
  <c r="S23" i="66"/>
  <c r="W20" i="75" s="1"/>
  <c r="G23" i="66"/>
  <c r="W8" i="75" s="1"/>
  <c r="P23" i="66"/>
  <c r="W17" i="75" s="1"/>
  <c r="AB23" i="66"/>
  <c r="W29" i="75" s="1"/>
  <c r="L23" i="66"/>
  <c r="W13" i="75" s="1"/>
  <c r="R23" i="66"/>
  <c r="W19" i="75" s="1"/>
  <c r="E23" i="66"/>
  <c r="W6" i="75" s="1"/>
  <c r="F23" i="66"/>
  <c r="W7" i="75" s="1"/>
  <c r="AE23" i="66"/>
  <c r="W32" i="75" s="1"/>
  <c r="AA23" i="66"/>
  <c r="W28" i="75" s="1"/>
  <c r="O23" i="66"/>
  <c r="W16" i="75" s="1"/>
  <c r="I22" i="66"/>
  <c r="V10" i="75" s="1"/>
  <c r="AF6" i="57"/>
  <c r="N6" i="57"/>
  <c r="T6" i="57"/>
  <c r="X6" i="57"/>
  <c r="I6" i="57"/>
  <c r="L6" i="57"/>
  <c r="P6" i="57"/>
  <c r="J6" i="57"/>
  <c r="Z6" i="57"/>
  <c r="AE6" i="57"/>
  <c r="AC6" i="57"/>
  <c r="AA6" i="57"/>
  <c r="W6" i="57"/>
  <c r="U6" i="57"/>
  <c r="S6" i="57"/>
  <c r="O6" i="57"/>
  <c r="M6" i="57"/>
  <c r="K6" i="57"/>
  <c r="Y6" i="57"/>
  <c r="AD6" i="57"/>
  <c r="R6" i="57"/>
  <c r="Q6" i="57"/>
  <c r="V6" i="57"/>
  <c r="AB6" i="57"/>
  <c r="O54" i="64"/>
  <c r="W54" i="64"/>
  <c r="AE54" i="64"/>
  <c r="V54" i="64"/>
  <c r="P54" i="64"/>
  <c r="X54" i="64"/>
  <c r="AF54" i="64"/>
  <c r="AK54" i="64"/>
  <c r="N54" i="64"/>
  <c r="Q54" i="64"/>
  <c r="Y54" i="64"/>
  <c r="AG54" i="64"/>
  <c r="R54" i="64"/>
  <c r="Z54" i="64"/>
  <c r="AH54" i="64"/>
  <c r="AC54" i="64"/>
  <c r="S54" i="64"/>
  <c r="AA54" i="64"/>
  <c r="AI54" i="64"/>
  <c r="U54" i="64"/>
  <c r="AD54" i="64"/>
  <c r="T54" i="64"/>
  <c r="AB54" i="64"/>
  <c r="AJ54" i="64"/>
  <c r="M54" i="64"/>
  <c r="I6" i="66" s="1"/>
  <c r="F10" i="75" s="1"/>
  <c r="W4" i="57" l="1"/>
  <c r="D24" i="74" s="1"/>
  <c r="F24" i="74"/>
  <c r="AD4" i="57"/>
  <c r="D31" i="74" s="1"/>
  <c r="F31" i="74"/>
  <c r="AA4" i="57"/>
  <c r="D28" i="74" s="1"/>
  <c r="F28" i="74"/>
  <c r="X4" i="57"/>
  <c r="D25" i="74" s="1"/>
  <c r="F25" i="74"/>
  <c r="Y4" i="57"/>
  <c r="D26" i="74" s="1"/>
  <c r="F26" i="74"/>
  <c r="AC4" i="57"/>
  <c r="D30" i="74" s="1"/>
  <c r="F30" i="74"/>
  <c r="T4" i="57"/>
  <c r="D21" i="74" s="1"/>
  <c r="F21" i="74"/>
  <c r="I4" i="57"/>
  <c r="D10" i="74" s="1"/>
  <c r="F10" i="74"/>
  <c r="N4" i="57"/>
  <c r="D15" i="74" s="1"/>
  <c r="F15" i="74"/>
  <c r="M4" i="57"/>
  <c r="D14" i="74" s="1"/>
  <c r="F14" i="74"/>
  <c r="Z4" i="57"/>
  <c r="D27" i="74" s="1"/>
  <c r="F27" i="74"/>
  <c r="AF4" i="57"/>
  <c r="D33" i="74" s="1"/>
  <c r="F33" i="74"/>
  <c r="R4" i="57"/>
  <c r="D19" i="74" s="1"/>
  <c r="F19" i="74"/>
  <c r="K4" i="57"/>
  <c r="D12" i="74" s="1"/>
  <c r="F12" i="74"/>
  <c r="O4" i="57"/>
  <c r="D16" i="74" s="1"/>
  <c r="F16" i="74"/>
  <c r="J4" i="57"/>
  <c r="D11" i="74" s="1"/>
  <c r="F11" i="74"/>
  <c r="AG9" i="57"/>
  <c r="AG20" i="57" s="1"/>
  <c r="T34" i="74" s="1"/>
  <c r="F5" i="75"/>
  <c r="D20" i="66"/>
  <c r="T5" i="75" s="1"/>
  <c r="AB4" i="57"/>
  <c r="D29" i="74" s="1"/>
  <c r="F29" i="74"/>
  <c r="V4" i="57"/>
  <c r="D23" i="74" s="1"/>
  <c r="F23" i="74"/>
  <c r="S4" i="57"/>
  <c r="D20" i="74" s="1"/>
  <c r="F20" i="74"/>
  <c r="P4" i="57"/>
  <c r="D17" i="74" s="1"/>
  <c r="F17" i="74"/>
  <c r="H20" i="66"/>
  <c r="T9" i="75" s="1"/>
  <c r="F9" i="75"/>
  <c r="F6" i="75"/>
  <c r="E20" i="66"/>
  <c r="T6" i="75" s="1"/>
  <c r="AE4" i="57"/>
  <c r="D32" i="74" s="1"/>
  <c r="F32" i="74"/>
  <c r="Q4" i="57"/>
  <c r="D18" i="74" s="1"/>
  <c r="F18" i="74"/>
  <c r="U4" i="57"/>
  <c r="D22" i="74" s="1"/>
  <c r="F22" i="74"/>
  <c r="L4" i="57"/>
  <c r="D13" i="74" s="1"/>
  <c r="F13" i="74"/>
  <c r="G20" i="66"/>
  <c r="T8" i="75" s="1"/>
  <c r="F8" i="75"/>
  <c r="F7" i="75"/>
  <c r="F20" i="66"/>
  <c r="T7" i="75" s="1"/>
  <c r="I4" i="75"/>
  <c r="C23" i="66"/>
  <c r="C8" i="66"/>
  <c r="AA22" i="66"/>
  <c r="V28" i="75" s="1"/>
  <c r="V22" i="66"/>
  <c r="V23" i="75" s="1"/>
  <c r="K22" i="66"/>
  <c r="V12" i="75" s="1"/>
  <c r="G22" i="66"/>
  <c r="V8" i="75" s="1"/>
  <c r="Y22" i="66"/>
  <c r="V26" i="75" s="1"/>
  <c r="U22" i="66"/>
  <c r="V22" i="75" s="1"/>
  <c r="X22" i="66"/>
  <c r="V25" i="75" s="1"/>
  <c r="R22" i="66"/>
  <c r="V19" i="75" s="1"/>
  <c r="S22" i="66"/>
  <c r="V20" i="75" s="1"/>
  <c r="AE22" i="66"/>
  <c r="V32" i="75" s="1"/>
  <c r="AB22" i="66"/>
  <c r="V29" i="75" s="1"/>
  <c r="Z22" i="66"/>
  <c r="V27" i="75" s="1"/>
  <c r="W22" i="66"/>
  <c r="V24" i="75" s="1"/>
  <c r="T22" i="66"/>
  <c r="V21" i="75" s="1"/>
  <c r="AF22" i="66"/>
  <c r="V33" i="75" s="1"/>
  <c r="AC22" i="66"/>
  <c r="V30" i="75" s="1"/>
  <c r="O22" i="66"/>
  <c r="V16" i="75" s="1"/>
  <c r="P22" i="66"/>
  <c r="V17" i="75" s="1"/>
  <c r="M22" i="66"/>
  <c r="V14" i="75" s="1"/>
  <c r="N22" i="66"/>
  <c r="V15" i="75" s="1"/>
  <c r="H22" i="66"/>
  <c r="V9" i="75" s="1"/>
  <c r="J22" i="66"/>
  <c r="V11" i="75" s="1"/>
  <c r="L22" i="66"/>
  <c r="V13" i="75" s="1"/>
  <c r="F22" i="66"/>
  <c r="V7" i="75" s="1"/>
  <c r="E22" i="66"/>
  <c r="V6" i="75" s="1"/>
  <c r="Q22" i="66"/>
  <c r="V18" i="75" s="1"/>
  <c r="AD22" i="66"/>
  <c r="V31" i="75" s="1"/>
  <c r="W6" i="66"/>
  <c r="F24" i="75" s="1"/>
  <c r="M6" i="66"/>
  <c r="F14" i="75" s="1"/>
  <c r="S6" i="66"/>
  <c r="F20" i="75" s="1"/>
  <c r="AF6" i="66"/>
  <c r="F33" i="75" s="1"/>
  <c r="Y6" i="66"/>
  <c r="F26" i="75" s="1"/>
  <c r="AG6" i="66"/>
  <c r="F34" i="75" s="1"/>
  <c r="C6" i="57"/>
  <c r="F4" i="74" s="1"/>
  <c r="J6" i="66"/>
  <c r="F11" i="75" s="1"/>
  <c r="AB6" i="66"/>
  <c r="F29" i="75" s="1"/>
  <c r="K6" i="66"/>
  <c r="F12" i="75" s="1"/>
  <c r="P6" i="66"/>
  <c r="F17" i="75" s="1"/>
  <c r="V6" i="66"/>
  <c r="F23" i="75" s="1"/>
  <c r="T6" i="66"/>
  <c r="F21" i="75" s="1"/>
  <c r="X6" i="66"/>
  <c r="N6" i="66"/>
  <c r="F15" i="75" s="1"/>
  <c r="O6" i="66"/>
  <c r="F16" i="75" s="1"/>
  <c r="AD6" i="66"/>
  <c r="F31" i="75" s="1"/>
  <c r="Q6" i="66"/>
  <c r="F18" i="75" s="1"/>
  <c r="AC6" i="66"/>
  <c r="F30" i="75" s="1"/>
  <c r="R6" i="66"/>
  <c r="F19" i="75" s="1"/>
  <c r="I4" i="66"/>
  <c r="D10" i="75" s="1"/>
  <c r="Z6" i="66"/>
  <c r="F27" i="75" s="1"/>
  <c r="L6" i="66"/>
  <c r="F13" i="75" s="1"/>
  <c r="AE6" i="66"/>
  <c r="F32" i="75" s="1"/>
  <c r="U6" i="66"/>
  <c r="F22" i="75" s="1"/>
  <c r="AA6" i="66"/>
  <c r="F28" i="75" s="1"/>
  <c r="F11" i="57"/>
  <c r="K7" i="74" s="1"/>
  <c r="G11" i="57"/>
  <c r="K8" i="74" s="1"/>
  <c r="H11" i="57"/>
  <c r="K9" i="74" s="1"/>
  <c r="I11" i="57"/>
  <c r="K10" i="74" s="1"/>
  <c r="J11" i="57"/>
  <c r="K11" i="74" s="1"/>
  <c r="K11" i="57"/>
  <c r="K12" i="74" s="1"/>
  <c r="L11" i="57"/>
  <c r="K13" i="74" s="1"/>
  <c r="M11" i="57"/>
  <c r="K14" i="74" s="1"/>
  <c r="N11" i="57"/>
  <c r="K15" i="74" s="1"/>
  <c r="O11" i="57"/>
  <c r="K16" i="74" s="1"/>
  <c r="P11" i="57"/>
  <c r="K17" i="74" s="1"/>
  <c r="Q11" i="57"/>
  <c r="K18" i="74" s="1"/>
  <c r="R11" i="57"/>
  <c r="K19" i="74" s="1"/>
  <c r="S11" i="57"/>
  <c r="K20" i="74" s="1"/>
  <c r="T11" i="57"/>
  <c r="K21" i="74" s="1"/>
  <c r="U11" i="57"/>
  <c r="K22" i="74" s="1"/>
  <c r="V11" i="57"/>
  <c r="K23" i="74" s="1"/>
  <c r="W11" i="57"/>
  <c r="K24" i="74" s="1"/>
  <c r="X11" i="57"/>
  <c r="K25" i="74" s="1"/>
  <c r="Y11" i="57"/>
  <c r="K26" i="74" s="1"/>
  <c r="Z11" i="57"/>
  <c r="K27" i="74" s="1"/>
  <c r="AA11" i="57"/>
  <c r="K28" i="74" s="1"/>
  <c r="AB11" i="57"/>
  <c r="K29" i="74" s="1"/>
  <c r="AC11" i="57"/>
  <c r="K30" i="74" s="1"/>
  <c r="AD11" i="57"/>
  <c r="K31" i="74" s="1"/>
  <c r="AE11" i="57"/>
  <c r="K32" i="74" s="1"/>
  <c r="AF11" i="57"/>
  <c r="K33" i="74" s="1"/>
  <c r="E11" i="57"/>
  <c r="K6" i="74" s="1"/>
  <c r="D11" i="57"/>
  <c r="K5" i="74" s="1"/>
  <c r="I34" i="74" l="1"/>
  <c r="X4" i="66"/>
  <c r="D25" i="75" s="1"/>
  <c r="F25" i="75"/>
  <c r="W4" i="75"/>
  <c r="H4" i="75"/>
  <c r="I19" i="57"/>
  <c r="S10" i="74" s="1"/>
  <c r="AG4" i="66"/>
  <c r="D34" i="75" s="1"/>
  <c r="AF4" i="66"/>
  <c r="D33" i="75" s="1"/>
  <c r="AE20" i="66"/>
  <c r="T32" i="75" s="1"/>
  <c r="AE4" i="66"/>
  <c r="D32" i="75" s="1"/>
  <c r="AD4" i="66"/>
  <c r="D31" i="75" s="1"/>
  <c r="AC20" i="66"/>
  <c r="T30" i="75" s="1"/>
  <c r="AC4" i="66"/>
  <c r="D30" i="75" s="1"/>
  <c r="AB4" i="66"/>
  <c r="D29" i="75" s="1"/>
  <c r="AA4" i="66"/>
  <c r="D28" i="75" s="1"/>
  <c r="Z4" i="66"/>
  <c r="D27" i="75" s="1"/>
  <c r="Y4" i="66"/>
  <c r="D26" i="75" s="1"/>
  <c r="W4" i="66"/>
  <c r="D24" i="75" s="1"/>
  <c r="V4" i="66"/>
  <c r="D23" i="75" s="1"/>
  <c r="U4" i="66"/>
  <c r="D22" i="75" s="1"/>
  <c r="T4" i="66"/>
  <c r="D21" i="75" s="1"/>
  <c r="S4" i="66"/>
  <c r="D20" i="75" s="1"/>
  <c r="R4" i="66"/>
  <c r="D19" i="75" s="1"/>
  <c r="Q4" i="66"/>
  <c r="D18" i="75" s="1"/>
  <c r="P4" i="66"/>
  <c r="D17" i="75" s="1"/>
  <c r="O4" i="66"/>
  <c r="D16" i="75" s="1"/>
  <c r="N4" i="66"/>
  <c r="D15" i="75" s="1"/>
  <c r="M4" i="66"/>
  <c r="D14" i="75" s="1"/>
  <c r="L20" i="66"/>
  <c r="T13" i="75" s="1"/>
  <c r="L4" i="66"/>
  <c r="D13" i="75" s="1"/>
  <c r="K4" i="66"/>
  <c r="D12" i="75" s="1"/>
  <c r="J4" i="66"/>
  <c r="D11" i="75" s="1"/>
  <c r="AF20" i="66"/>
  <c r="T33" i="75" s="1"/>
  <c r="O20" i="66"/>
  <c r="T16" i="75" s="1"/>
  <c r="J20" i="66"/>
  <c r="T11" i="75" s="1"/>
  <c r="W20" i="66"/>
  <c r="T24" i="75" s="1"/>
  <c r="Y20" i="66"/>
  <c r="T26" i="75" s="1"/>
  <c r="C22" i="66"/>
  <c r="S20" i="66"/>
  <c r="T20" i="75" s="1"/>
  <c r="K20" i="66"/>
  <c r="T12" i="75" s="1"/>
  <c r="M20" i="66"/>
  <c r="T14" i="75" s="1"/>
  <c r="Z20" i="66"/>
  <c r="T27" i="75" s="1"/>
  <c r="U20" i="66"/>
  <c r="T22" i="75" s="1"/>
  <c r="V20" i="66"/>
  <c r="T23" i="75" s="1"/>
  <c r="P20" i="66"/>
  <c r="T17" i="75" s="1"/>
  <c r="AD20" i="66"/>
  <c r="T31" i="75" s="1"/>
  <c r="I20" i="66"/>
  <c r="T10" i="75" s="1"/>
  <c r="AA20" i="66"/>
  <c r="T28" i="75" s="1"/>
  <c r="N20" i="66"/>
  <c r="T15" i="75" s="1"/>
  <c r="T20" i="66"/>
  <c r="T21" i="75" s="1"/>
  <c r="X20" i="66"/>
  <c r="T25" i="75" s="1"/>
  <c r="Q20" i="66"/>
  <c r="T18" i="75" s="1"/>
  <c r="AG20" i="66"/>
  <c r="T34" i="75" s="1"/>
  <c r="V9" i="57"/>
  <c r="AB9" i="57"/>
  <c r="AD9" i="57"/>
  <c r="W9" i="57"/>
  <c r="R9" i="57"/>
  <c r="T9" i="57"/>
  <c r="X9" i="57"/>
  <c r="I9" i="57"/>
  <c r="L9" i="57"/>
  <c r="AF9" i="57"/>
  <c r="N9" i="57"/>
  <c r="Z9" i="57"/>
  <c r="AE9" i="57"/>
  <c r="AC9" i="57"/>
  <c r="AA9" i="57"/>
  <c r="P9" i="57"/>
  <c r="J9" i="57"/>
  <c r="I11" i="74" s="1"/>
  <c r="AB20" i="66"/>
  <c r="T29" i="75" s="1"/>
  <c r="R20" i="66"/>
  <c r="T19" i="75" s="1"/>
  <c r="C6" i="66"/>
  <c r="F4" i="75" s="1"/>
  <c r="O9" i="57"/>
  <c r="M9" i="57"/>
  <c r="K9" i="57"/>
  <c r="Y9" i="57"/>
  <c r="U9" i="57"/>
  <c r="S9" i="57"/>
  <c r="Q9" i="57"/>
  <c r="I15" i="57"/>
  <c r="O10" i="74" s="1"/>
  <c r="I12" i="66"/>
  <c r="I18" i="66"/>
  <c r="R10" i="75" s="1"/>
  <c r="P26" i="74"/>
  <c r="Y19" i="57"/>
  <c r="S26" i="74" s="1"/>
  <c r="Y17" i="57"/>
  <c r="Q26" i="74" s="1"/>
  <c r="Y15" i="57"/>
  <c r="O26" i="74" s="1"/>
  <c r="P18" i="74"/>
  <c r="Q19" i="57"/>
  <c r="S18" i="74" s="1"/>
  <c r="Q17" i="57"/>
  <c r="Q18" i="74" s="1"/>
  <c r="Q15" i="57"/>
  <c r="O18" i="74" s="1"/>
  <c r="P33" i="74"/>
  <c r="AF19" i="57"/>
  <c r="S33" i="74" s="1"/>
  <c r="AF17" i="57"/>
  <c r="Q33" i="74" s="1"/>
  <c r="AF15" i="57"/>
  <c r="O33" i="74" s="1"/>
  <c r="P25" i="74"/>
  <c r="X19" i="57"/>
  <c r="S25" i="74" s="1"/>
  <c r="X17" i="57"/>
  <c r="Q25" i="74" s="1"/>
  <c r="X15" i="57"/>
  <c r="O25" i="74" s="1"/>
  <c r="P17" i="74"/>
  <c r="P19" i="57"/>
  <c r="S17" i="74" s="1"/>
  <c r="P17" i="57"/>
  <c r="Q17" i="74" s="1"/>
  <c r="P15" i="57"/>
  <c r="O17" i="74" s="1"/>
  <c r="H17" i="57"/>
  <c r="Q9" i="74" s="1"/>
  <c r="H19" i="57"/>
  <c r="S9" i="74" s="1"/>
  <c r="P34" i="74"/>
  <c r="AG17" i="57"/>
  <c r="Q34" i="74" s="1"/>
  <c r="AG15" i="57"/>
  <c r="O34" i="74" s="1"/>
  <c r="P32" i="74"/>
  <c r="AE17" i="57"/>
  <c r="Q32" i="74" s="1"/>
  <c r="AE19" i="57"/>
  <c r="S32" i="74" s="1"/>
  <c r="AE15" i="57"/>
  <c r="O32" i="74" s="1"/>
  <c r="P24" i="74"/>
  <c r="W19" i="57"/>
  <c r="S24" i="74" s="1"/>
  <c r="W15" i="57"/>
  <c r="O24" i="74" s="1"/>
  <c r="W17" i="57"/>
  <c r="Q24" i="74" s="1"/>
  <c r="P16" i="74"/>
  <c r="O19" i="57"/>
  <c r="S16" i="74" s="1"/>
  <c r="O15" i="57"/>
  <c r="O16" i="74" s="1"/>
  <c r="O17" i="57"/>
  <c r="Q16" i="74" s="1"/>
  <c r="G17" i="57"/>
  <c r="Q8" i="74" s="1"/>
  <c r="G19" i="57"/>
  <c r="S8" i="74" s="1"/>
  <c r="P15" i="74"/>
  <c r="N19" i="57"/>
  <c r="S15" i="74" s="1"/>
  <c r="N15" i="57"/>
  <c r="O15" i="74" s="1"/>
  <c r="N17" i="57"/>
  <c r="Q15" i="74" s="1"/>
  <c r="F17" i="57"/>
  <c r="Q7" i="74" s="1"/>
  <c r="F19" i="57"/>
  <c r="S7" i="74" s="1"/>
  <c r="P22" i="74"/>
  <c r="U17" i="57"/>
  <c r="Q22" i="74" s="1"/>
  <c r="U19" i="57"/>
  <c r="S22" i="74" s="1"/>
  <c r="U15" i="57"/>
  <c r="O22" i="74" s="1"/>
  <c r="P14" i="74"/>
  <c r="M17" i="57"/>
  <c r="Q14" i="74" s="1"/>
  <c r="M19" i="57"/>
  <c r="S14" i="74" s="1"/>
  <c r="M15" i="57"/>
  <c r="O14" i="74" s="1"/>
  <c r="P23" i="74"/>
  <c r="V19" i="57"/>
  <c r="S23" i="74" s="1"/>
  <c r="V17" i="57"/>
  <c r="Q23" i="74" s="1"/>
  <c r="V15" i="57"/>
  <c r="O23" i="74" s="1"/>
  <c r="AB19" i="57"/>
  <c r="S29" i="74" s="1"/>
  <c r="P29" i="74"/>
  <c r="AB17" i="57"/>
  <c r="Q29" i="74" s="1"/>
  <c r="AB15" i="57"/>
  <c r="O29" i="74" s="1"/>
  <c r="P21" i="74"/>
  <c r="T19" i="57"/>
  <c r="S21" i="74" s="1"/>
  <c r="T17" i="57"/>
  <c r="Q21" i="74" s="1"/>
  <c r="T15" i="57"/>
  <c r="O21" i="74" s="1"/>
  <c r="L19" i="57"/>
  <c r="S13" i="74" s="1"/>
  <c r="P13" i="74"/>
  <c r="L17" i="57"/>
  <c r="Q13" i="74" s="1"/>
  <c r="L15" i="57"/>
  <c r="O13" i="74" s="1"/>
  <c r="P30" i="74"/>
  <c r="AC17" i="57"/>
  <c r="Q30" i="74" s="1"/>
  <c r="AC19" i="57"/>
  <c r="S30" i="74" s="1"/>
  <c r="AC15" i="57"/>
  <c r="O30" i="74" s="1"/>
  <c r="D17" i="57"/>
  <c r="Q5" i="74" s="1"/>
  <c r="D19" i="57"/>
  <c r="S5" i="74" s="1"/>
  <c r="P28" i="74"/>
  <c r="AA19" i="57"/>
  <c r="S28" i="74" s="1"/>
  <c r="AA15" i="57"/>
  <c r="O28" i="74" s="1"/>
  <c r="AA17" i="57"/>
  <c r="Q28" i="74" s="1"/>
  <c r="P20" i="74"/>
  <c r="S17" i="57"/>
  <c r="Q20" i="74" s="1"/>
  <c r="S19" i="57"/>
  <c r="S20" i="74" s="1"/>
  <c r="S15" i="57"/>
  <c r="O20" i="74" s="1"/>
  <c r="P12" i="74"/>
  <c r="K15" i="57"/>
  <c r="O12" i="74" s="1"/>
  <c r="K17" i="57"/>
  <c r="Q12" i="74" s="1"/>
  <c r="K19" i="57"/>
  <c r="S12" i="74" s="1"/>
  <c r="P31" i="74"/>
  <c r="AD19" i="57"/>
  <c r="S31" i="74" s="1"/>
  <c r="AD17" i="57"/>
  <c r="Q31" i="74" s="1"/>
  <c r="AD15" i="57"/>
  <c r="O31" i="74" s="1"/>
  <c r="E17" i="57"/>
  <c r="Q6" i="74" s="1"/>
  <c r="E19" i="57"/>
  <c r="S6" i="74" s="1"/>
  <c r="P27" i="74"/>
  <c r="Z19" i="57"/>
  <c r="S27" i="74" s="1"/>
  <c r="Z15" i="57"/>
  <c r="O27" i="74" s="1"/>
  <c r="Z17" i="57"/>
  <c r="Q27" i="74" s="1"/>
  <c r="P19" i="74"/>
  <c r="R19" i="57"/>
  <c r="S19" i="74" s="1"/>
  <c r="R15" i="57"/>
  <c r="O19" i="74" s="1"/>
  <c r="R17" i="57"/>
  <c r="Q19" i="74" s="1"/>
  <c r="P11" i="74"/>
  <c r="J19" i="57"/>
  <c r="S11" i="74" s="1"/>
  <c r="J17" i="57"/>
  <c r="Q11" i="74" s="1"/>
  <c r="J15" i="57"/>
  <c r="O11" i="74" s="1"/>
  <c r="I16" i="57"/>
  <c r="P10" i="74" s="1"/>
  <c r="I17" i="57"/>
  <c r="Q10" i="74" s="1"/>
  <c r="V4" i="75" l="1"/>
  <c r="I26" i="66"/>
  <c r="Z10" i="75" s="1"/>
  <c r="L10" i="75"/>
  <c r="AF20" i="57"/>
  <c r="T33" i="74" s="1"/>
  <c r="I33" i="74"/>
  <c r="AE20" i="57"/>
  <c r="T32" i="74" s="1"/>
  <c r="I32" i="74"/>
  <c r="AD20" i="57"/>
  <c r="T31" i="74" s="1"/>
  <c r="I31" i="74"/>
  <c r="AC20" i="57"/>
  <c r="T30" i="74" s="1"/>
  <c r="I30" i="74"/>
  <c r="AB20" i="57"/>
  <c r="T29" i="74" s="1"/>
  <c r="I29" i="74"/>
  <c r="AA20" i="57"/>
  <c r="T28" i="74" s="1"/>
  <c r="I28" i="74"/>
  <c r="Z20" i="57"/>
  <c r="T27" i="74" s="1"/>
  <c r="I27" i="74"/>
  <c r="Y20" i="57"/>
  <c r="I26" i="74"/>
  <c r="X20" i="57"/>
  <c r="T25" i="74" s="1"/>
  <c r="I25" i="74"/>
  <c r="W20" i="57"/>
  <c r="T24" i="74" s="1"/>
  <c r="I24" i="74"/>
  <c r="V20" i="57"/>
  <c r="T23" i="74" s="1"/>
  <c r="I23" i="74"/>
  <c r="U20" i="57"/>
  <c r="T22" i="74" s="1"/>
  <c r="I22" i="74"/>
  <c r="T20" i="57"/>
  <c r="T21" i="74" s="1"/>
  <c r="I21" i="74"/>
  <c r="S20" i="57"/>
  <c r="T20" i="74" s="1"/>
  <c r="I20" i="74"/>
  <c r="R20" i="57"/>
  <c r="T19" i="74" s="1"/>
  <c r="I19" i="74"/>
  <c r="Q20" i="57"/>
  <c r="T18" i="74" s="1"/>
  <c r="I18" i="74"/>
  <c r="P20" i="57"/>
  <c r="T17" i="74" s="1"/>
  <c r="I17" i="74"/>
  <c r="O20" i="57"/>
  <c r="T16" i="74" s="1"/>
  <c r="I16" i="74"/>
  <c r="N20" i="57"/>
  <c r="T15" i="74" s="1"/>
  <c r="I15" i="74"/>
  <c r="M20" i="57"/>
  <c r="T14" i="74" s="1"/>
  <c r="I14" i="74"/>
  <c r="L20" i="57"/>
  <c r="T13" i="74" s="1"/>
  <c r="I13" i="74"/>
  <c r="K20" i="57"/>
  <c r="T12" i="74" s="1"/>
  <c r="I12" i="74"/>
  <c r="I20" i="57"/>
  <c r="T10" i="74" s="1"/>
  <c r="I10" i="74"/>
  <c r="AG12" i="66"/>
  <c r="C17" i="57"/>
  <c r="C19" i="57"/>
  <c r="AF18" i="66"/>
  <c r="R33" i="75" s="1"/>
  <c r="AF12" i="66"/>
  <c r="U12" i="66"/>
  <c r="L22" i="75" s="1"/>
  <c r="J20" i="57"/>
  <c r="T11" i="74" s="1"/>
  <c r="J12" i="66"/>
  <c r="J18" i="66"/>
  <c r="R11" i="75" s="1"/>
  <c r="Z18" i="66"/>
  <c r="R27" i="75" s="1"/>
  <c r="K18" i="66"/>
  <c r="R12" i="75" s="1"/>
  <c r="K12" i="66"/>
  <c r="N18" i="66"/>
  <c r="R15" i="75" s="1"/>
  <c r="Z12" i="66"/>
  <c r="L27" i="75" s="1"/>
  <c r="N12" i="66"/>
  <c r="O18" i="66"/>
  <c r="R16" i="75" s="1"/>
  <c r="X12" i="66"/>
  <c r="L25" i="75" s="1"/>
  <c r="S12" i="66"/>
  <c r="L20" i="75" s="1"/>
  <c r="W12" i="66"/>
  <c r="L24" i="75" s="1"/>
  <c r="S18" i="66"/>
  <c r="R20" i="75" s="1"/>
  <c r="W18" i="66"/>
  <c r="R24" i="75" s="1"/>
  <c r="O12" i="66"/>
  <c r="L16" i="75" s="1"/>
  <c r="X18" i="66"/>
  <c r="R25" i="75" s="1"/>
  <c r="U18" i="66"/>
  <c r="R22" i="75" s="1"/>
  <c r="L18" i="66"/>
  <c r="R13" i="75" s="1"/>
  <c r="Q12" i="66"/>
  <c r="L18" i="75" s="1"/>
  <c r="Y12" i="66"/>
  <c r="L26" i="75" s="1"/>
  <c r="Y18" i="66"/>
  <c r="R26" i="75" s="1"/>
  <c r="Q18" i="66"/>
  <c r="R18" i="75" s="1"/>
  <c r="AC12" i="66"/>
  <c r="AD12" i="66"/>
  <c r="AD18" i="66"/>
  <c r="R31" i="75" s="1"/>
  <c r="AE12" i="66"/>
  <c r="M12" i="66"/>
  <c r="M18" i="66"/>
  <c r="R14" i="75" s="1"/>
  <c r="V12" i="66"/>
  <c r="L23" i="75" s="1"/>
  <c r="V18" i="66"/>
  <c r="R23" i="75" s="1"/>
  <c r="AC18" i="66"/>
  <c r="R30" i="75" s="1"/>
  <c r="AB12" i="66"/>
  <c r="AB18" i="66"/>
  <c r="R29" i="75" s="1"/>
  <c r="AA12" i="66"/>
  <c r="AA18" i="66"/>
  <c r="R28" i="75" s="1"/>
  <c r="R18" i="66"/>
  <c r="R19" i="75" s="1"/>
  <c r="AE18" i="66"/>
  <c r="R32" i="75" s="1"/>
  <c r="L12" i="66"/>
  <c r="P12" i="66"/>
  <c r="L17" i="75" s="1"/>
  <c r="P18" i="66"/>
  <c r="R17" i="75" s="1"/>
  <c r="C20" i="66"/>
  <c r="AG18" i="66"/>
  <c r="R34" i="75" s="1"/>
  <c r="T12" i="66"/>
  <c r="L21" i="75" s="1"/>
  <c r="T18" i="66"/>
  <c r="R21" i="75" s="1"/>
  <c r="R12" i="66"/>
  <c r="L19" i="75" s="1"/>
  <c r="F5" i="57"/>
  <c r="H5" i="57"/>
  <c r="G5" i="57"/>
  <c r="E5" i="57"/>
  <c r="D5" i="57"/>
  <c r="H4" i="57" l="1"/>
  <c r="H15" i="57" s="1"/>
  <c r="O9" i="74" s="1"/>
  <c r="E9" i="74"/>
  <c r="E4" i="57"/>
  <c r="E6" i="74"/>
  <c r="G4" i="57"/>
  <c r="G9" i="57" s="1"/>
  <c r="I8" i="74" s="1"/>
  <c r="E8" i="74"/>
  <c r="F4" i="57"/>
  <c r="D7" i="74" s="1"/>
  <c r="E7" i="74"/>
  <c r="D4" i="57"/>
  <c r="D5" i="74" s="1"/>
  <c r="E5" i="74"/>
  <c r="T4" i="75"/>
  <c r="AG26" i="66"/>
  <c r="Z34" i="75" s="1"/>
  <c r="L34" i="75"/>
  <c r="AF26" i="66"/>
  <c r="Z33" i="75" s="1"/>
  <c r="L33" i="75"/>
  <c r="AE26" i="66"/>
  <c r="Z32" i="75" s="1"/>
  <c r="L32" i="75"/>
  <c r="AD26" i="66"/>
  <c r="Z31" i="75" s="1"/>
  <c r="L31" i="75"/>
  <c r="AC26" i="66"/>
  <c r="Z30" i="75" s="1"/>
  <c r="L30" i="75"/>
  <c r="AB26" i="66"/>
  <c r="Z29" i="75" s="1"/>
  <c r="L29" i="75"/>
  <c r="AA26" i="66"/>
  <c r="Z28" i="75" s="1"/>
  <c r="L28" i="75"/>
  <c r="Z26" i="66"/>
  <c r="Z27" i="75" s="1"/>
  <c r="Y26" i="66"/>
  <c r="Z26" i="75" s="1"/>
  <c r="X26" i="66"/>
  <c r="Z25" i="75" s="1"/>
  <c r="W26" i="66"/>
  <c r="Z24" i="75" s="1"/>
  <c r="V26" i="66"/>
  <c r="Z23" i="75" s="1"/>
  <c r="U26" i="66"/>
  <c r="Z22" i="75" s="1"/>
  <c r="T26" i="66"/>
  <c r="Z21" i="75" s="1"/>
  <c r="S26" i="66"/>
  <c r="Z20" i="75" s="1"/>
  <c r="R26" i="66"/>
  <c r="Z19" i="75" s="1"/>
  <c r="Q26" i="66"/>
  <c r="Z18" i="75" s="1"/>
  <c r="P26" i="66"/>
  <c r="Z17" i="75" s="1"/>
  <c r="O26" i="66"/>
  <c r="Z16" i="75" s="1"/>
  <c r="N26" i="66"/>
  <c r="Z15" i="75" s="1"/>
  <c r="L15" i="75"/>
  <c r="M26" i="66"/>
  <c r="Z14" i="75" s="1"/>
  <c r="L14" i="75"/>
  <c r="L26" i="66"/>
  <c r="Z13" i="75" s="1"/>
  <c r="L13" i="75"/>
  <c r="K26" i="66"/>
  <c r="Z12" i="75" s="1"/>
  <c r="L12" i="75"/>
  <c r="J26" i="66"/>
  <c r="Z11" i="75" s="1"/>
  <c r="L11" i="75"/>
  <c r="T26" i="74"/>
  <c r="S4" i="74"/>
  <c r="Q4" i="74"/>
  <c r="E15" i="57"/>
  <c r="O6" i="74" s="1"/>
  <c r="D6" i="74"/>
  <c r="D27" i="59"/>
  <c r="E27" i="59"/>
  <c r="F27" i="59"/>
  <c r="G27" i="59"/>
  <c r="C27" i="59"/>
  <c r="G16" i="57"/>
  <c r="P8" i="74" s="1"/>
  <c r="H16" i="57"/>
  <c r="P9" i="74" s="1"/>
  <c r="F16" i="57"/>
  <c r="P7" i="74" s="1"/>
  <c r="D16" i="57"/>
  <c r="P5" i="74" s="1"/>
  <c r="C5" i="57"/>
  <c r="E4" i="74" s="1"/>
  <c r="E16" i="57"/>
  <c r="P6" i="74" s="1"/>
  <c r="D15" i="57" l="1"/>
  <c r="O5" i="74" s="1"/>
  <c r="D9" i="57"/>
  <c r="I5" i="74" s="1"/>
  <c r="D9" i="74"/>
  <c r="C23" i="57"/>
  <c r="K101" i="58" s="1"/>
  <c r="D8" i="74"/>
  <c r="C4" i="57"/>
  <c r="D4" i="74" s="1"/>
  <c r="I31" i="64"/>
  <c r="K31" i="64"/>
  <c r="L31" i="64"/>
  <c r="J31" i="64"/>
  <c r="I27" i="59"/>
  <c r="C16" i="57"/>
  <c r="H31" i="64"/>
  <c r="H32" i="64" s="1"/>
  <c r="H9" i="57"/>
  <c r="E9" i="57"/>
  <c r="F9" i="57"/>
  <c r="F15" i="57"/>
  <c r="O7" i="74" s="1"/>
  <c r="G20" i="57"/>
  <c r="T8" i="74" s="1"/>
  <c r="G15" i="57"/>
  <c r="O8" i="74" s="1"/>
  <c r="J32" i="64" l="1"/>
  <c r="F5" i="66" s="1"/>
  <c r="I32" i="64"/>
  <c r="E5" i="66" s="1"/>
  <c r="L32" i="64"/>
  <c r="H5" i="66" s="1"/>
  <c r="K32" i="64"/>
  <c r="G5" i="66" s="1"/>
  <c r="E38" i="74"/>
  <c r="K141" i="58"/>
  <c r="K133" i="58"/>
  <c r="K93" i="58"/>
  <c r="K117" i="58"/>
  <c r="K85" i="58"/>
  <c r="K109" i="58"/>
  <c r="K37" i="58"/>
  <c r="P4" i="74"/>
  <c r="H20" i="57"/>
  <c r="T9" i="74" s="1"/>
  <c r="I9" i="74"/>
  <c r="F20" i="57"/>
  <c r="T7" i="74" s="1"/>
  <c r="I7" i="74"/>
  <c r="E20" i="57"/>
  <c r="T6" i="74" s="1"/>
  <c r="I6" i="74"/>
  <c r="N32" i="64"/>
  <c r="N31" i="64"/>
  <c r="C24" i="57"/>
  <c r="C22" i="57"/>
  <c r="C15" i="57"/>
  <c r="K125" i="58"/>
  <c r="K29" i="58"/>
  <c r="K77" i="58"/>
  <c r="K61" i="58"/>
  <c r="K69" i="58"/>
  <c r="K45" i="58"/>
  <c r="K53" i="58"/>
  <c r="C4" i="67"/>
  <c r="D20" i="57"/>
  <c r="T5" i="74" s="1"/>
  <c r="C9" i="57"/>
  <c r="E8" i="75" l="1"/>
  <c r="G4" i="66"/>
  <c r="D8" i="75" s="1"/>
  <c r="G19" i="66"/>
  <c r="S8" i="75" s="1"/>
  <c r="E9" i="75"/>
  <c r="H4" i="66"/>
  <c r="D9" i="75" s="1"/>
  <c r="H19" i="66"/>
  <c r="S9" i="75" s="1"/>
  <c r="E6" i="75"/>
  <c r="E19" i="66"/>
  <c r="S6" i="75" s="1"/>
  <c r="E4" i="66"/>
  <c r="D6" i="75" s="1"/>
  <c r="E7" i="75"/>
  <c r="F4" i="66"/>
  <c r="D7" i="75" s="1"/>
  <c r="F19" i="66"/>
  <c r="S7" i="75" s="1"/>
  <c r="E37" i="74"/>
  <c r="E39" i="74"/>
  <c r="O4" i="74"/>
  <c r="E22" i="57"/>
  <c r="C20" i="57"/>
  <c r="I4" i="74"/>
  <c r="L109" i="58"/>
  <c r="L117" i="58"/>
  <c r="J109" i="58"/>
  <c r="J117" i="58"/>
  <c r="L93" i="58"/>
  <c r="L101" i="58"/>
  <c r="J93" i="58"/>
  <c r="J101" i="58"/>
  <c r="L141" i="58"/>
  <c r="L85" i="58"/>
  <c r="J141" i="58"/>
  <c r="J85" i="58"/>
  <c r="E23" i="57"/>
  <c r="J37" i="58"/>
  <c r="J133" i="58"/>
  <c r="L37" i="58"/>
  <c r="L133" i="58"/>
  <c r="G12" i="66"/>
  <c r="G18" i="66"/>
  <c r="R8" i="75" s="1"/>
  <c r="F12" i="66"/>
  <c r="E12" i="66"/>
  <c r="E18" i="66"/>
  <c r="R6" i="75" s="1"/>
  <c r="D5" i="66"/>
  <c r="E5" i="75" s="1"/>
  <c r="L125" i="58"/>
  <c r="L29" i="58"/>
  <c r="J125" i="58"/>
  <c r="J29" i="58"/>
  <c r="L69" i="58"/>
  <c r="L61" i="58"/>
  <c r="L53" i="58"/>
  <c r="L45" i="58"/>
  <c r="C5" i="67"/>
  <c r="L77" i="58"/>
  <c r="J77" i="58"/>
  <c r="J61" i="58"/>
  <c r="J69" i="58"/>
  <c r="J45" i="58"/>
  <c r="J53" i="58"/>
  <c r="C3" i="67"/>
  <c r="H18" i="66" l="1"/>
  <c r="R9" i="75" s="1"/>
  <c r="H12" i="66"/>
  <c r="H26" i="66" s="1"/>
  <c r="Z9" i="75" s="1"/>
  <c r="F18" i="66"/>
  <c r="R7" i="75" s="1"/>
  <c r="G26" i="66"/>
  <c r="Z8" i="75" s="1"/>
  <c r="L8" i="75"/>
  <c r="F26" i="66"/>
  <c r="Z7" i="75" s="1"/>
  <c r="L7" i="75"/>
  <c r="E26" i="66"/>
  <c r="Z6" i="75" s="1"/>
  <c r="L6" i="75"/>
  <c r="T4" i="74"/>
  <c r="D4" i="66"/>
  <c r="D19" i="66"/>
  <c r="C5" i="66"/>
  <c r="E4" i="75" s="1"/>
  <c r="L9" i="75" l="1"/>
  <c r="C19" i="66"/>
  <c r="S4" i="75" s="1"/>
  <c r="S5" i="75"/>
  <c r="C29" i="66"/>
  <c r="D5" i="75"/>
  <c r="D18" i="66"/>
  <c r="C4" i="66"/>
  <c r="D12" i="66"/>
  <c r="L5" i="75" l="1"/>
  <c r="C30" i="66"/>
  <c r="N117" i="58"/>
  <c r="E38" i="75"/>
  <c r="C18" i="66"/>
  <c r="E29" i="66" s="1"/>
  <c r="R5" i="75"/>
  <c r="N93" i="58"/>
  <c r="N101" i="58"/>
  <c r="N85" i="58"/>
  <c r="N109" i="58"/>
  <c r="D4" i="75"/>
  <c r="C28" i="66"/>
  <c r="N133" i="58"/>
  <c r="N141" i="58"/>
  <c r="N37" i="58"/>
  <c r="N53" i="58"/>
  <c r="N69" i="58"/>
  <c r="C7" i="67"/>
  <c r="N61" i="58"/>
  <c r="N125" i="58"/>
  <c r="N29" i="58"/>
  <c r="N77" i="58"/>
  <c r="N45" i="58"/>
  <c r="C12" i="66"/>
  <c r="D26" i="66"/>
  <c r="E37" i="75" l="1"/>
  <c r="E28" i="66"/>
  <c r="O117" i="58"/>
  <c r="E39" i="75"/>
  <c r="C26" i="66"/>
  <c r="Z4" i="75" s="1"/>
  <c r="Z5" i="75"/>
  <c r="R4" i="75"/>
  <c r="L4" i="75"/>
  <c r="M109" i="58"/>
  <c r="M117" i="58"/>
  <c r="O101" i="58"/>
  <c r="O109" i="58"/>
  <c r="M93" i="58"/>
  <c r="M101" i="58"/>
  <c r="O85" i="58"/>
  <c r="O93" i="58"/>
  <c r="M133" i="58"/>
  <c r="M85" i="58"/>
  <c r="M141" i="58"/>
  <c r="O133" i="58"/>
  <c r="O141" i="58"/>
  <c r="M37" i="58"/>
  <c r="M45" i="58"/>
  <c r="M61" i="58"/>
  <c r="M53" i="58"/>
  <c r="M69" i="58"/>
  <c r="C6" i="67"/>
  <c r="M77" i="58"/>
  <c r="M125" i="58"/>
  <c r="M29" i="58"/>
  <c r="O37" i="58"/>
  <c r="O77" i="58"/>
  <c r="O61" i="58"/>
  <c r="O45" i="58"/>
  <c r="O53" i="58"/>
  <c r="C8" i="67"/>
  <c r="O69" i="58"/>
  <c r="O125" i="58"/>
  <c r="O29" i="5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tc={A1A92486-DB17-407B-BE5E-0D7F8C803349}</author>
    <author>tc={783FD8C0-C645-4805-AFEA-487549E9B8AD}</author>
  </authors>
  <commentList>
    <comment ref="AG9" authorId="0" shapeId="0" xr:uid="{A1A92486-DB17-407B-BE5E-0D7F8C80334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Including salvage value</t>
      </text>
    </comment>
    <comment ref="AG20" authorId="1" shapeId="0" xr:uid="{783FD8C0-C645-4805-AFEA-487549E9B8A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Including salvage value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tc={E2645399-AE19-4296-B76E-0982DFC833B0}</author>
    <author>tc={2E79140E-4377-44B8-BDDD-A61B5BCE4C20}</author>
  </authors>
  <commentList>
    <comment ref="I34" authorId="0" shapeId="0" xr:uid="{E2645399-AE19-4296-B76E-0982DFC833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Including salvage value</t>
      </text>
    </comment>
    <comment ref="T34" authorId="1" shapeId="0" xr:uid="{2E79140E-4377-44B8-BDDD-A61B5BCE4C2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Including salvage value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tc={24700379-0585-4A1C-876C-66EDEC12BB9D}</author>
    <author>tc={E8430EF6-C150-4995-91A2-1D3F0819A8B4}</author>
  </authors>
  <commentList>
    <comment ref="AG12" authorId="0" shapeId="0" xr:uid="{24700379-0585-4A1C-876C-66EDEC12BB9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Including salvage value</t>
      </text>
    </comment>
    <comment ref="AG26" authorId="1" shapeId="0" xr:uid="{E8430EF6-C150-4995-91A2-1D3F0819A8B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Including salvage value</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tc={0C9F0BE1-A389-445B-8410-5E942A19E14B}</author>
    <author>tc={60A4E1D2-A29A-4BFD-B5DF-7C372270F531}</author>
  </authors>
  <commentList>
    <comment ref="L34" authorId="0" shapeId="0" xr:uid="{0C9F0BE1-A389-445B-8410-5E942A19E14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Including salvage value</t>
      </text>
    </comment>
    <comment ref="Z34" authorId="1" shapeId="0" xr:uid="{60A4E1D2-A29A-4BFD-B5DF-7C372270F53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Including salvage value</t>
      </text>
    </comment>
  </commentList>
</comments>
</file>

<file path=xl/sharedStrings.xml><?xml version="1.0" encoding="utf-8"?>
<sst xmlns="http://schemas.openxmlformats.org/spreadsheetml/2006/main" count="1063" uniqueCount="284">
  <si>
    <t>Year</t>
    <phoneticPr fontId="4"/>
  </si>
  <si>
    <t>Total Costs</t>
    <phoneticPr fontId="4"/>
  </si>
  <si>
    <t>Total Benefits</t>
    <phoneticPr fontId="4"/>
  </si>
  <si>
    <t>Net Benefits</t>
    <phoneticPr fontId="4"/>
  </si>
  <si>
    <t>Foreign Currency (USD)</t>
    <phoneticPr fontId="4"/>
  </si>
  <si>
    <t>Materials &amp; Equipment Costs</t>
    <phoneticPr fontId="4"/>
  </si>
  <si>
    <t>Labor Costs</t>
    <phoneticPr fontId="4"/>
  </si>
  <si>
    <t>Land Acquisition/Compensation Costs</t>
    <phoneticPr fontId="4"/>
  </si>
  <si>
    <t>General/Administrative Costs (Overhead Costs)</t>
    <phoneticPr fontId="4"/>
  </si>
  <si>
    <t xml:space="preserve">    Skilled Workers</t>
    <phoneticPr fontId="4"/>
  </si>
  <si>
    <t xml:space="preserve">    Unskilled Workers</t>
    <phoneticPr fontId="4"/>
  </si>
  <si>
    <t>Item</t>
    <phoneticPr fontId="4"/>
  </si>
  <si>
    <t>Salvage Value of Investment</t>
    <phoneticPr fontId="4"/>
  </si>
  <si>
    <t>Insurance</t>
    <phoneticPr fontId="4"/>
  </si>
  <si>
    <t>Spares &amp; Maintenance</t>
    <phoneticPr fontId="4"/>
  </si>
  <si>
    <t>Financial Costs</t>
    <phoneticPr fontId="4"/>
  </si>
  <si>
    <t>Economic Costs</t>
    <phoneticPr fontId="4"/>
  </si>
  <si>
    <t>➡</t>
    <phoneticPr fontId="4"/>
  </si>
  <si>
    <t>FIRR</t>
    <phoneticPr fontId="4"/>
  </si>
  <si>
    <t>FNPV</t>
    <phoneticPr fontId="4"/>
  </si>
  <si>
    <t>FBCR</t>
    <phoneticPr fontId="4"/>
  </si>
  <si>
    <t>Conversion Factor</t>
    <phoneticPr fontId="4"/>
  </si>
  <si>
    <t>Discount Rate</t>
    <phoneticPr fontId="4"/>
  </si>
  <si>
    <t>Contingency</t>
    <phoneticPr fontId="4"/>
  </si>
  <si>
    <t>Total</t>
    <phoneticPr fontId="4"/>
  </si>
  <si>
    <t>Price Contingency</t>
    <phoneticPr fontId="4"/>
  </si>
  <si>
    <t>Physical Contingency</t>
    <phoneticPr fontId="4"/>
  </si>
  <si>
    <t>Local Currency (BDT)</t>
    <phoneticPr fontId="4"/>
  </si>
  <si>
    <t>Total 
(BDT)</t>
    <phoneticPr fontId="4"/>
  </si>
  <si>
    <t>Annual Initial Investment Costs (BDT)</t>
    <phoneticPr fontId="4"/>
  </si>
  <si>
    <t>Salvage</t>
    <phoneticPr fontId="4"/>
  </si>
  <si>
    <t>--</t>
    <phoneticPr fontId="4"/>
  </si>
  <si>
    <t>Taxes, Subsidies (Transfers)</t>
    <phoneticPr fontId="4"/>
  </si>
  <si>
    <t xml:space="preserve">    Shadow Wage Rate Factor (SWRF) [=1/Conversion Factor for Unskilled Labor]</t>
    <phoneticPr fontId="4"/>
  </si>
  <si>
    <t>Annual Revenues</t>
    <phoneticPr fontId="4"/>
  </si>
  <si>
    <t>Annual Cost Savings during Construction (cumulative %)</t>
    <phoneticPr fontId="4"/>
  </si>
  <si>
    <r>
      <t xml:space="preserve">Annual Cost Savings </t>
    </r>
    <r>
      <rPr>
        <b/>
        <u/>
        <sz val="11"/>
        <color theme="1"/>
        <rFont val="游ゴシック"/>
        <family val="3"/>
        <charset val="128"/>
        <scheme val="minor"/>
      </rPr>
      <t>during Construction</t>
    </r>
    <r>
      <rPr>
        <b/>
        <sz val="11"/>
        <color theme="1"/>
        <rFont val="游ゴシック"/>
        <family val="3"/>
        <charset val="128"/>
        <scheme val="minor"/>
      </rPr>
      <t xml:space="preserve"> (BDT), if any</t>
    </r>
    <phoneticPr fontId="4"/>
  </si>
  <si>
    <t>Incremental Outputs</t>
    <phoneticPr fontId="4"/>
  </si>
  <si>
    <t>Non-incremental Outputs</t>
    <phoneticPr fontId="4"/>
  </si>
  <si>
    <r>
      <t xml:space="preserve">Annual Incremental Outputs </t>
    </r>
    <r>
      <rPr>
        <b/>
        <u/>
        <sz val="11"/>
        <color theme="1"/>
        <rFont val="游ゴシック"/>
        <family val="3"/>
        <charset val="128"/>
        <scheme val="minor"/>
      </rPr>
      <t>during Construction</t>
    </r>
    <r>
      <rPr>
        <b/>
        <sz val="11"/>
        <color theme="1"/>
        <rFont val="游ゴシック"/>
        <family val="3"/>
        <charset val="128"/>
        <scheme val="minor"/>
      </rPr>
      <t xml:space="preserve"> (BDT), if any</t>
    </r>
    <phoneticPr fontId="4"/>
  </si>
  <si>
    <t xml:space="preserve">  Incremental Outputs</t>
    <phoneticPr fontId="4"/>
  </si>
  <si>
    <t xml:space="preserve"> (=100%)</t>
    <phoneticPr fontId="4"/>
  </si>
  <si>
    <r>
      <t xml:space="preserve">Annual Revenues </t>
    </r>
    <r>
      <rPr>
        <b/>
        <u/>
        <sz val="11"/>
        <color theme="1"/>
        <rFont val="游ゴシック"/>
        <family val="3"/>
        <charset val="128"/>
        <scheme val="minor"/>
      </rPr>
      <t>during Construction</t>
    </r>
    <r>
      <rPr>
        <b/>
        <sz val="11"/>
        <color theme="1"/>
        <rFont val="游ゴシック"/>
        <family val="3"/>
        <charset val="128"/>
        <scheme val="minor"/>
      </rPr>
      <t xml:space="preserve"> (BDT), if any</t>
    </r>
    <phoneticPr fontId="4"/>
  </si>
  <si>
    <t>ENPV</t>
    <phoneticPr fontId="4"/>
  </si>
  <si>
    <t>EIRR</t>
    <phoneticPr fontId="4"/>
  </si>
  <si>
    <t>EBCR</t>
    <phoneticPr fontId="4"/>
  </si>
  <si>
    <t>Indicator</t>
    <phoneticPr fontId="4"/>
  </si>
  <si>
    <t xml:space="preserve">    Salvage (Residual) Value (%)</t>
    <phoneticPr fontId="4"/>
  </si>
  <si>
    <t>Economic Code</t>
    <phoneticPr fontId="4"/>
  </si>
  <si>
    <t>Unit</t>
    <phoneticPr fontId="4"/>
  </si>
  <si>
    <t>Quantity</t>
    <phoneticPr fontId="4"/>
  </si>
  <si>
    <t>GOB
(FE)</t>
  </si>
  <si>
    <t>Project Aid</t>
    <phoneticPr fontId="4"/>
  </si>
  <si>
    <t>Own 
Fund
(FE)</t>
    <phoneticPr fontId="4"/>
  </si>
  <si>
    <t>Others</t>
  </si>
  <si>
    <t>% of Total Project Cost</t>
    <phoneticPr fontId="4"/>
  </si>
  <si>
    <t>RPA</t>
  </si>
  <si>
    <t>DPA</t>
  </si>
  <si>
    <t>Through GOB</t>
    <phoneticPr fontId="4"/>
  </si>
  <si>
    <t>Through
PD</t>
  </si>
  <si>
    <t>Through
DP</t>
  </si>
  <si>
    <t>(1)</t>
    <phoneticPr fontId="4"/>
  </si>
  <si>
    <t>(2)</t>
    <phoneticPr fontId="4"/>
  </si>
  <si>
    <t>(3)</t>
    <phoneticPr fontId="4"/>
  </si>
  <si>
    <t>(4)</t>
  </si>
  <si>
    <t>(5)</t>
  </si>
  <si>
    <t>(6)</t>
  </si>
  <si>
    <t>(7)</t>
  </si>
  <si>
    <t>(8)</t>
  </si>
  <si>
    <t>(9)</t>
  </si>
  <si>
    <t>(10)</t>
  </si>
  <si>
    <t>(11)</t>
  </si>
  <si>
    <t>(12)</t>
  </si>
  <si>
    <t>(13)</t>
  </si>
  <si>
    <t>(a) Revenue:</t>
    <phoneticPr fontId="4"/>
  </si>
  <si>
    <t>(b) Capital:</t>
    <phoneticPr fontId="4"/>
  </si>
  <si>
    <t>Revenue Source I</t>
    <phoneticPr fontId="4"/>
  </si>
  <si>
    <t>Revenue Source II</t>
    <phoneticPr fontId="4"/>
  </si>
  <si>
    <t>Revenue Source III</t>
    <phoneticPr fontId="4"/>
  </si>
  <si>
    <t>Value</t>
    <phoneticPr fontId="4"/>
  </si>
  <si>
    <t>(i) Financial Net Present Value (FNPV)</t>
    <phoneticPr fontId="4"/>
  </si>
  <si>
    <t>(i) Economic Net Present Value (ENPV)</t>
    <phoneticPr fontId="4"/>
  </si>
  <si>
    <t>(ii) Financial Benefit-Cost Ratio (FBCR)</t>
    <phoneticPr fontId="4"/>
  </si>
  <si>
    <t>(iiI) Financial Internal Rate of Return (FIRR)</t>
    <phoneticPr fontId="4"/>
  </si>
  <si>
    <t>(ii) Economic Benefit-Cost Ratio (EBCR)</t>
    <phoneticPr fontId="4"/>
  </si>
  <si>
    <t>(iii) Economic Internal Rate of Return (EIRR)</t>
    <phoneticPr fontId="4"/>
  </si>
  <si>
    <t>(Taka in Lac)</t>
    <phoneticPr fontId="4"/>
  </si>
  <si>
    <t>Detailed Estimated Cost</t>
    <phoneticPr fontId="4"/>
  </si>
  <si>
    <t>Economic Sub-code</t>
    <phoneticPr fontId="4"/>
  </si>
  <si>
    <t>Economic Sub-code
Description (In Detail)</t>
    <phoneticPr fontId="4"/>
  </si>
  <si>
    <t>Unit Cost</t>
    <phoneticPr fontId="4"/>
  </si>
  <si>
    <t>Special Account*</t>
    <phoneticPr fontId="4"/>
  </si>
  <si>
    <t>(14)</t>
  </si>
  <si>
    <t>(15)</t>
  </si>
  <si>
    <t>Sub total of Revenue</t>
    <phoneticPr fontId="4"/>
  </si>
  <si>
    <t>Sub total of Capital</t>
    <phoneticPr fontId="4"/>
  </si>
  <si>
    <t>Total (a+b+c+d)</t>
    <phoneticPr fontId="4"/>
  </si>
  <si>
    <t>* DOSA, CONTASA, SAFE, Imprest, etc.</t>
    <phoneticPr fontId="4"/>
  </si>
  <si>
    <t>Financial Analysis</t>
    <phoneticPr fontId="4"/>
  </si>
  <si>
    <t>Economic Analysis</t>
    <phoneticPr fontId="4"/>
  </si>
  <si>
    <t>(years)</t>
    <phoneticPr fontId="4"/>
  </si>
  <si>
    <t>(%)</t>
    <phoneticPr fontId="4"/>
  </si>
  <si>
    <t>(USD/BDT)</t>
    <phoneticPr fontId="4"/>
  </si>
  <si>
    <t xml:space="preserve">    Financial Discount Rate</t>
    <phoneticPr fontId="4"/>
  </si>
  <si>
    <t xml:space="preserve">    Physical Contingency</t>
    <phoneticPr fontId="4"/>
  </si>
  <si>
    <t xml:space="preserve">    Price Contingency, Local currency</t>
    <phoneticPr fontId="4"/>
  </si>
  <si>
    <t>Construction Period</t>
    <phoneticPr fontId="4"/>
  </si>
  <si>
    <t>(#)</t>
    <phoneticPr fontId="4"/>
  </si>
  <si>
    <t>(BDT/kWh)</t>
    <phoneticPr fontId="4"/>
  </si>
  <si>
    <t xml:space="preserve">    Economic (Social) Discount Rate</t>
    <phoneticPr fontId="4"/>
  </si>
  <si>
    <t xml:space="preserve">  (lakh)</t>
    <phoneticPr fontId="4"/>
  </si>
  <si>
    <t>NPV</t>
  </si>
  <si>
    <t>BCR</t>
  </si>
  <si>
    <t>IRR</t>
  </si>
  <si>
    <t>Parameter/Assumption</t>
    <phoneticPr fontId="4"/>
  </si>
  <si>
    <t xml:space="preserve">    Costs of Fixed Investment</t>
    <phoneticPr fontId="4"/>
  </si>
  <si>
    <t>Investment I -- Buildings</t>
    <phoneticPr fontId="4"/>
  </si>
  <si>
    <t>Investment III -- Land</t>
    <phoneticPr fontId="4"/>
  </si>
  <si>
    <t xml:space="preserve"> (=0)</t>
    <phoneticPr fontId="4"/>
  </si>
  <si>
    <t>Change in Total Benefits</t>
    <phoneticPr fontId="4"/>
  </si>
  <si>
    <t>(%)</t>
  </si>
  <si>
    <t>Change in Total Costs</t>
    <phoneticPr fontId="4"/>
  </si>
  <si>
    <t>Level of Total Benefis</t>
    <phoneticPr fontId="4"/>
  </si>
  <si>
    <t>Level of Total Costs</t>
    <phoneticPr fontId="4"/>
  </si>
  <si>
    <t>Project
Aid</t>
    <phoneticPr fontId="4"/>
  </si>
  <si>
    <t>GOB</t>
    <phoneticPr fontId="4"/>
  </si>
  <si>
    <t>Own Funds</t>
    <phoneticPr fontId="4"/>
  </si>
  <si>
    <t>Total (BDT)</t>
    <phoneticPr fontId="4"/>
  </si>
  <si>
    <t>Investment II -- Equipment (Overhead &amp; underground line construction)</t>
    <phoneticPr fontId="4"/>
  </si>
  <si>
    <t xml:space="preserve">  Financial Benefits/Revenues</t>
    <phoneticPr fontId="4"/>
  </si>
  <si>
    <t xml:space="preserve">  Non-incremental Outputs (Cost Savings)</t>
    <phoneticPr fontId="4"/>
  </si>
  <si>
    <r>
      <t>Salvage Value of Investment</t>
    </r>
    <r>
      <rPr>
        <sz val="11"/>
        <color theme="1"/>
        <rFont val="游ゴシック"/>
        <family val="3"/>
        <charset val="128"/>
        <scheme val="minor"/>
      </rPr>
      <t xml:space="preserve"> [=TC*SPF]</t>
    </r>
    <phoneticPr fontId="4"/>
  </si>
  <si>
    <t xml:space="preserve">*Entering data in the beige-colored cells is required. </t>
    <phoneticPr fontId="4"/>
  </si>
  <si>
    <t>(Discrepancy with Total Initial Investment Costs)</t>
    <phoneticPr fontId="4"/>
  </si>
  <si>
    <t>[default: 1.15]</t>
    <phoneticPr fontId="4"/>
  </si>
  <si>
    <t>[default: 1.45]</t>
    <phoneticPr fontId="4"/>
  </si>
  <si>
    <t>[default: 100]</t>
    <phoneticPr fontId="4"/>
  </si>
  <si>
    <t>[default: 30]</t>
    <phoneticPr fontId="4"/>
  </si>
  <si>
    <t>[default: 5]</t>
    <phoneticPr fontId="4"/>
  </si>
  <si>
    <t>[default: 8.05]</t>
    <phoneticPr fontId="4"/>
  </si>
  <si>
    <t>[default: 12.00]</t>
    <phoneticPr fontId="4"/>
  </si>
  <si>
    <t>[default: 100%]</t>
    <phoneticPr fontId="4"/>
  </si>
  <si>
    <t>DF</t>
    <phoneticPr fontId="4"/>
  </si>
  <si>
    <r>
      <t xml:space="preserve">Annual Cost Savings </t>
    </r>
    <r>
      <rPr>
        <b/>
        <u/>
        <sz val="11"/>
        <color theme="1"/>
        <rFont val="游ゴシック"/>
        <family val="3"/>
        <charset val="128"/>
        <scheme val="minor"/>
      </rPr>
      <t>after Construction</t>
    </r>
    <r>
      <rPr>
        <b/>
        <sz val="11"/>
        <color theme="1"/>
        <rFont val="游ゴシック"/>
        <family val="3"/>
        <charset val="128"/>
        <scheme val="minor"/>
      </rPr>
      <t xml:space="preserve"> (BDT)</t>
    </r>
    <phoneticPr fontId="4"/>
  </si>
  <si>
    <r>
      <t xml:space="preserve">Annual Revenues </t>
    </r>
    <r>
      <rPr>
        <b/>
        <u/>
        <sz val="11"/>
        <color theme="1"/>
        <rFont val="游ゴシック"/>
        <family val="3"/>
        <charset val="128"/>
        <scheme val="minor"/>
      </rPr>
      <t>after Construction</t>
    </r>
    <r>
      <rPr>
        <b/>
        <sz val="11"/>
        <color theme="1"/>
        <rFont val="游ゴシック"/>
        <family val="3"/>
        <charset val="128"/>
        <scheme val="minor"/>
      </rPr>
      <t xml:space="preserve"> (BDT)</t>
    </r>
    <phoneticPr fontId="4"/>
  </si>
  <si>
    <r>
      <t xml:space="preserve">Annual Incremental Outputs </t>
    </r>
    <r>
      <rPr>
        <b/>
        <u/>
        <sz val="11"/>
        <color theme="1"/>
        <rFont val="游ゴシック"/>
        <family val="3"/>
        <charset val="128"/>
        <scheme val="minor"/>
      </rPr>
      <t>after Construction</t>
    </r>
    <r>
      <rPr>
        <b/>
        <sz val="11"/>
        <color theme="1"/>
        <rFont val="游ゴシック"/>
        <family val="3"/>
        <charset val="128"/>
        <scheme val="minor"/>
      </rPr>
      <t xml:space="preserve"> (BDT)</t>
    </r>
    <phoneticPr fontId="4"/>
  </si>
  <si>
    <t>Annual Cost Savings after Costruction (cumulative %)</t>
    <phoneticPr fontId="4"/>
  </si>
  <si>
    <t>At Constant Prices/Before Discounting (lakh)</t>
    <phoneticPr fontId="4"/>
  </si>
  <si>
    <t>Present Values (lakh)</t>
    <phoneticPr fontId="4"/>
  </si>
  <si>
    <t xml:space="preserve"> *Do not change the first row.</t>
    <phoneticPr fontId="4"/>
  </si>
  <si>
    <t xml:space="preserve"> *(&gt;=10 &amp; &lt;=30)</t>
    <phoneticPr fontId="4"/>
  </si>
  <si>
    <t xml:space="preserve"> *(&lt;=6)</t>
    <phoneticPr fontId="4"/>
  </si>
  <si>
    <t>Annual Operating Costs (Operation &amp; Maintenance Costs)</t>
    <phoneticPr fontId="4"/>
  </si>
  <si>
    <t>Annual Operating Costs after Construction (BDT)</t>
    <phoneticPr fontId="4"/>
  </si>
  <si>
    <t>Project Life &amp; Construction Period</t>
    <phoneticPr fontId="4"/>
  </si>
  <si>
    <t>Capacity</t>
    <phoneticPr fontId="4"/>
  </si>
  <si>
    <t>Price &amp; Costs</t>
    <phoneticPr fontId="4"/>
  </si>
  <si>
    <t>Service Improvement</t>
    <phoneticPr fontId="4"/>
  </si>
  <si>
    <t xml:space="preserve">  Initial Investment Costs</t>
    <phoneticPr fontId="4"/>
  </si>
  <si>
    <t xml:space="preserve">  Operating Costs (Operation &amp; Maintenance Costs)</t>
    <phoneticPr fontId="4"/>
  </si>
  <si>
    <t xml:space="preserve">  Salvage Value</t>
    <phoneticPr fontId="4"/>
  </si>
  <si>
    <t>Annual Operating Costs Estimated from a Similar Project</t>
    <phoneticPr fontId="4"/>
  </si>
  <si>
    <t xml:space="preserve"> *The operating costs are taken from a similar type of the existing substation of PGCB.</t>
    <phoneticPr fontId="4"/>
  </si>
  <si>
    <t>Load Factor</t>
    <phoneticPr fontId="4"/>
  </si>
  <si>
    <t>Transmission Loss</t>
    <phoneticPr fontId="4"/>
  </si>
  <si>
    <t>Wheeling Charge</t>
    <phoneticPr fontId="4"/>
  </si>
  <si>
    <t>[default: 0.2791]</t>
    <phoneticPr fontId="4"/>
  </si>
  <si>
    <t>(MW/hour)</t>
    <phoneticPr fontId="4"/>
  </si>
  <si>
    <t>Revenues from Wheeling Charge</t>
    <phoneticPr fontId="4"/>
  </si>
  <si>
    <t>(lakh)</t>
    <phoneticPr fontId="4"/>
  </si>
  <si>
    <t>Gross Annual Energy (considering the Load Factor)</t>
    <phoneticPr fontId="4"/>
  </si>
  <si>
    <t>[default: 1,398.63]</t>
    <phoneticPr fontId="4"/>
  </si>
  <si>
    <t>*It is assumed that the project would be partially operational during construction and the capacity utilization in years 4, 5 &amp; 6  would be 21.42%, 25.70%, and 50.47%, respectively.</t>
    <phoneticPr fontId="4"/>
  </si>
  <si>
    <t>Residential Customers</t>
    <phoneticPr fontId="4"/>
  </si>
  <si>
    <t>Commercial Customers</t>
    <phoneticPr fontId="4"/>
  </si>
  <si>
    <t>Incremental Load Flow/Total Capacity to be Increased</t>
    <phoneticPr fontId="4"/>
  </si>
  <si>
    <t>Wheeled Energy/Additional Supply of Electricity to Meet Demand</t>
    <phoneticPr fontId="4"/>
  </si>
  <si>
    <t xml:space="preserve"> *choke price</t>
    <phoneticPr fontId="4"/>
  </si>
  <si>
    <t>[default: 9.80]</t>
    <phoneticPr fontId="4"/>
  </si>
  <si>
    <t xml:space="preserve">  Annual Incremental Outputs for Residential [=0.5*a*(c-b)]</t>
    <phoneticPr fontId="4"/>
  </si>
  <si>
    <t xml:space="preserve">  Annual Incremental Outputs for Commercial [=0.5*a*(c-b)]</t>
    <phoneticPr fontId="4"/>
  </si>
  <si>
    <t>[default: 39.18%]</t>
    <phoneticPr fontId="4"/>
  </si>
  <si>
    <t>(BDT/year)</t>
    <phoneticPr fontId="4"/>
  </si>
  <si>
    <t>[default: 1,000]</t>
    <phoneticPr fontId="4"/>
  </si>
  <si>
    <t>[default: 1,332,805]</t>
    <phoneticPr fontId="4"/>
  </si>
  <si>
    <t>Allocation Benefits among Generation/Transmission/Distribution</t>
    <phoneticPr fontId="4"/>
  </si>
  <si>
    <t>[default: 33.3%]</t>
    <phoneticPr fontId="4"/>
  </si>
  <si>
    <t>(mil.kWh/year)</t>
    <phoneticPr fontId="4"/>
  </si>
  <si>
    <t xml:space="preserve"> *1MW = 1,000kW</t>
    <phoneticPr fontId="4"/>
  </si>
  <si>
    <t xml:space="preserve"> *1,000MWh = million kWh</t>
    <phoneticPr fontId="4"/>
  </si>
  <si>
    <t>Consultant Costs</t>
    <phoneticPr fontId="4"/>
  </si>
  <si>
    <t>Project Life</t>
    <phoneticPr fontId="4"/>
  </si>
  <si>
    <t xml:space="preserve">    Revenues from Wheeling Charge (a)*(b) [=LC*SPF]</t>
    <phoneticPr fontId="4"/>
  </si>
  <si>
    <t>Financial Benefits/Revenues</t>
    <phoneticPr fontId="4"/>
  </si>
  <si>
    <t>Economic Benefits/Revenues</t>
    <phoneticPr fontId="4"/>
  </si>
  <si>
    <t xml:space="preserve">  (MW/hour)</t>
  </si>
  <si>
    <t xml:space="preserve">  (%)</t>
  </si>
  <si>
    <t xml:space="preserve">  (mil.kWh/year)</t>
  </si>
  <si>
    <t xml:space="preserve">  (BDT/Wh)</t>
  </si>
  <si>
    <t xml:space="preserve">  (lakh)</t>
  </si>
  <si>
    <t>Annual Revenues [=LC*SPF]</t>
    <phoneticPr fontId="4"/>
  </si>
  <si>
    <t xml:space="preserve">  Economic Benefits/Revenues</t>
    <phoneticPr fontId="4"/>
  </si>
  <si>
    <t>Existing Total Customers</t>
    <phoneticPr fontId="4"/>
  </si>
  <si>
    <t>Percent of Existing Total Customers who Benefit from Cost Savings</t>
    <phoneticPr fontId="4"/>
  </si>
  <si>
    <t>Avg. Cost Savings per Customer</t>
    <phoneticPr fontId="4"/>
  </si>
  <si>
    <t>Average Sales Rate for Residential</t>
    <phoneticPr fontId="4"/>
  </si>
  <si>
    <t>Average Sales Rate for Commercial</t>
    <phoneticPr fontId="4"/>
  </si>
  <si>
    <t>Cost of Electricity Produced Privately for Residential</t>
    <phoneticPr fontId="4"/>
  </si>
  <si>
    <t>Cost of Electricity Produced Privately for Commercial</t>
    <phoneticPr fontId="4"/>
  </si>
  <si>
    <t>Percent of Electricity Transmitted to Commercial Customers</t>
    <phoneticPr fontId="4"/>
  </si>
  <si>
    <r>
      <rPr>
        <b/>
        <u/>
        <sz val="11"/>
        <color theme="10"/>
        <rFont val="游ゴシック"/>
        <family val="3"/>
        <charset val="128"/>
        <scheme val="minor"/>
      </rPr>
      <t>0.Contents</t>
    </r>
    <r>
      <rPr>
        <u/>
        <sz val="11"/>
        <color theme="10"/>
        <rFont val="游ゴシック"/>
        <family val="2"/>
        <scheme val="minor"/>
      </rPr>
      <t xml:space="preserve"> </t>
    </r>
    <r>
      <rPr>
        <u/>
        <sz val="11"/>
        <color theme="10"/>
        <rFont val="游ゴシック"/>
        <family val="3"/>
        <charset val="128"/>
        <scheme val="minor"/>
      </rPr>
      <t>--&gt; Table of contents</t>
    </r>
    <phoneticPr fontId="4"/>
  </si>
  <si>
    <r>
      <rPr>
        <b/>
        <u/>
        <sz val="11"/>
        <color theme="10"/>
        <rFont val="游ゴシック"/>
        <family val="3"/>
        <charset val="128"/>
        <scheme val="minor"/>
      </rPr>
      <t>1.Params</t>
    </r>
    <r>
      <rPr>
        <u/>
        <sz val="11"/>
        <color theme="10"/>
        <rFont val="游ゴシック"/>
        <family val="3"/>
        <charset val="128"/>
        <scheme val="minor"/>
      </rPr>
      <t xml:space="preserve"> --&gt; Setting model parameters &amp; project assumptions/variables</t>
    </r>
    <phoneticPr fontId="4"/>
  </si>
  <si>
    <r>
      <rPr>
        <b/>
        <u/>
        <sz val="11"/>
        <color theme="10"/>
        <rFont val="游ゴシック"/>
        <family val="3"/>
        <charset val="128"/>
        <scheme val="minor"/>
      </rPr>
      <t>3.FBenefits</t>
    </r>
    <r>
      <rPr>
        <u/>
        <sz val="11"/>
        <color theme="10"/>
        <rFont val="游ゴシック"/>
        <family val="3"/>
        <charset val="128"/>
        <scheme val="minor"/>
      </rPr>
      <t xml:space="preserve"> --&gt; Identifying and quantifying financial benefits</t>
    </r>
    <phoneticPr fontId="4"/>
  </si>
  <si>
    <r>
      <rPr>
        <b/>
        <u/>
        <sz val="11"/>
        <color theme="10"/>
        <rFont val="游ゴシック"/>
        <family val="3"/>
        <charset val="128"/>
        <scheme val="minor"/>
      </rPr>
      <t>5.ECosts</t>
    </r>
    <r>
      <rPr>
        <u/>
        <sz val="11"/>
        <color theme="10"/>
        <rFont val="游ゴシック"/>
        <family val="3"/>
        <charset val="128"/>
        <scheme val="minor"/>
      </rPr>
      <t xml:space="preserve"> --&gt; Identifying and quantifying economic costs</t>
    </r>
    <phoneticPr fontId="4"/>
  </si>
  <si>
    <r>
      <rPr>
        <b/>
        <u/>
        <sz val="11"/>
        <color theme="10"/>
        <rFont val="游ゴシック"/>
        <family val="3"/>
        <charset val="128"/>
        <scheme val="minor"/>
      </rPr>
      <t>6.EBenefits</t>
    </r>
    <r>
      <rPr>
        <u/>
        <sz val="11"/>
        <color theme="10"/>
        <rFont val="游ゴシック"/>
        <family val="3"/>
        <charset val="128"/>
        <scheme val="minor"/>
      </rPr>
      <t xml:space="preserve"> --&gt; Identifying and quantifying economic benefits</t>
    </r>
    <phoneticPr fontId="4"/>
  </si>
  <si>
    <r>
      <rPr>
        <b/>
        <u/>
        <sz val="11"/>
        <color theme="10"/>
        <rFont val="游ゴシック"/>
        <family val="3"/>
        <charset val="128"/>
        <scheme val="minor"/>
      </rPr>
      <t>9.Results</t>
    </r>
    <r>
      <rPr>
        <u/>
        <sz val="11"/>
        <color theme="10"/>
        <rFont val="游ゴシック"/>
        <family val="3"/>
        <charset val="128"/>
        <scheme val="minor"/>
      </rPr>
      <t xml:space="preserve"> --&gt; Summarizing the results of financial and economic analysis</t>
    </r>
    <phoneticPr fontId="4"/>
  </si>
  <si>
    <r>
      <rPr>
        <b/>
        <u/>
        <sz val="11"/>
        <color theme="10"/>
        <rFont val="游ゴシック"/>
        <family val="3"/>
        <charset val="128"/>
        <scheme val="minor"/>
      </rPr>
      <t>8.Sensitivity</t>
    </r>
    <r>
      <rPr>
        <u/>
        <sz val="11"/>
        <color theme="10"/>
        <rFont val="游ゴシック"/>
        <family val="3"/>
        <charset val="128"/>
        <scheme val="minor"/>
      </rPr>
      <t xml:space="preserve"> --&gt; Testing sensitivity of the results to parameters &amp; assumptions</t>
    </r>
    <phoneticPr fontId="4"/>
  </si>
  <si>
    <t>About the Sample Project</t>
    <phoneticPr fontId="4"/>
  </si>
  <si>
    <r>
      <t>Table of Contents (</t>
    </r>
    <r>
      <rPr>
        <b/>
        <sz val="12"/>
        <color rgb="FFFF0000"/>
        <rFont val="游ゴシック"/>
        <family val="3"/>
        <charset val="128"/>
        <scheme val="minor"/>
      </rPr>
      <t>Power Transmission</t>
    </r>
    <r>
      <rPr>
        <b/>
        <sz val="12"/>
        <color theme="1"/>
        <rFont val="游ゴシック"/>
        <family val="3"/>
        <charset val="128"/>
        <scheme val="minor"/>
      </rPr>
      <t>)</t>
    </r>
    <phoneticPr fontId="4"/>
  </si>
  <si>
    <t>n/a</t>
    <phoneticPr fontId="4"/>
  </si>
  <si>
    <t>The project is designed to ensure uninterrupted and reliable power transmission for some economic zones in Chattogram Division as well as for Bangabandhu Hi-Tech City in Gazipur and to meet the growing demand of electricity in the southern areas of Chattogram Division through the construction of new substations and expansion of transmission facilities (cf. the Appendix of the CBA Handbook).</t>
    <phoneticPr fontId="4"/>
  </si>
  <si>
    <r>
      <rPr>
        <b/>
        <u/>
        <sz val="11"/>
        <color theme="10"/>
        <rFont val="游ゴシック"/>
        <family val="3"/>
        <charset val="128"/>
        <scheme val="minor"/>
      </rPr>
      <t>2a.FCosts</t>
    </r>
    <r>
      <rPr>
        <u/>
        <sz val="11"/>
        <color theme="10"/>
        <rFont val="游ゴシック"/>
        <family val="3"/>
        <charset val="128"/>
        <scheme val="minor"/>
      </rPr>
      <t xml:space="preserve"> --&gt; Identifying and quantifying financial costs (1)----DPP format</t>
    </r>
    <phoneticPr fontId="4"/>
  </si>
  <si>
    <r>
      <rPr>
        <b/>
        <u/>
        <sz val="11"/>
        <color theme="10"/>
        <rFont val="游ゴシック"/>
        <family val="3"/>
        <charset val="128"/>
        <scheme val="minor"/>
      </rPr>
      <t>2b.FCosts</t>
    </r>
    <r>
      <rPr>
        <u/>
        <sz val="11"/>
        <color theme="10"/>
        <rFont val="游ゴシック"/>
        <family val="3"/>
        <charset val="128"/>
        <scheme val="minor"/>
      </rPr>
      <t xml:space="preserve"> --&gt; Identifying and quantifying financial costs (2)----General format</t>
    </r>
    <phoneticPr fontId="4"/>
  </si>
  <si>
    <r>
      <rPr>
        <b/>
        <u/>
        <sz val="11"/>
        <color theme="10"/>
        <rFont val="游ゴシック"/>
        <family val="3"/>
        <charset val="128"/>
        <scheme val="minor"/>
      </rPr>
      <t>4a.FAnalysis</t>
    </r>
    <r>
      <rPr>
        <u/>
        <sz val="11"/>
        <color theme="10"/>
        <rFont val="游ゴシック"/>
        <family val="3"/>
        <charset val="128"/>
        <scheme val="minor"/>
      </rPr>
      <t xml:space="preserve"> --&gt; Constructing financial cash flow tables and estimating financial indicators (1)----Horizontal format</t>
    </r>
    <phoneticPr fontId="4"/>
  </si>
  <si>
    <r>
      <rPr>
        <b/>
        <u/>
        <sz val="11"/>
        <color theme="10"/>
        <rFont val="游ゴシック"/>
        <family val="3"/>
        <charset val="128"/>
        <scheme val="minor"/>
      </rPr>
      <t>4b.FAnalysis</t>
    </r>
    <r>
      <rPr>
        <u/>
        <sz val="11"/>
        <color theme="10"/>
        <rFont val="游ゴシック"/>
        <family val="3"/>
        <charset val="128"/>
        <scheme val="minor"/>
      </rPr>
      <t xml:space="preserve"> --&gt; Constructing financial cash flow tables and estimating financial indicators (2)----Vertical format</t>
    </r>
    <phoneticPr fontId="4"/>
  </si>
  <si>
    <r>
      <rPr>
        <b/>
        <u/>
        <sz val="11"/>
        <color theme="10"/>
        <rFont val="游ゴシック"/>
        <family val="3"/>
        <charset val="128"/>
        <scheme val="minor"/>
      </rPr>
      <t>7a.EAnalysis</t>
    </r>
    <r>
      <rPr>
        <u/>
        <sz val="11"/>
        <color theme="10"/>
        <rFont val="游ゴシック"/>
        <family val="3"/>
        <charset val="128"/>
        <scheme val="minor"/>
      </rPr>
      <t xml:space="preserve"> --&gt; Constructing economic cash flow tables and estimating economic indicators (1)----Horizontal format</t>
    </r>
    <phoneticPr fontId="4"/>
  </si>
  <si>
    <r>
      <rPr>
        <b/>
        <u/>
        <sz val="11"/>
        <color theme="10"/>
        <rFont val="游ゴシック"/>
        <family val="3"/>
        <charset val="128"/>
        <scheme val="minor"/>
      </rPr>
      <t>7b.EAnalysis</t>
    </r>
    <r>
      <rPr>
        <u/>
        <sz val="11"/>
        <color theme="10"/>
        <rFont val="游ゴシック"/>
        <family val="3"/>
        <charset val="128"/>
        <scheme val="minor"/>
      </rPr>
      <t xml:space="preserve"> --&gt; Constructing economic cash flow tables and estimating economic indicators (2)----Vertical format</t>
    </r>
    <phoneticPr fontId="4"/>
  </si>
  <si>
    <r>
      <t xml:space="preserve">    Price Contingency, Foreign currency</t>
    </r>
    <r>
      <rPr>
        <sz val="11"/>
        <color rgb="FF0070C0"/>
        <rFont val="游ゴシック"/>
        <family val="3"/>
        <charset val="128"/>
        <scheme val="minor"/>
      </rPr>
      <t xml:space="preserve"> (not used in this sample)</t>
    </r>
    <phoneticPr fontId="4"/>
  </si>
  <si>
    <r>
      <t xml:space="preserve">    Wage Conversion Factor for Unskilled Labor</t>
    </r>
    <r>
      <rPr>
        <sz val="11"/>
        <color rgb="FF0070C0"/>
        <rFont val="游ゴシック"/>
        <family val="3"/>
        <charset val="128"/>
        <scheme val="minor"/>
      </rPr>
      <t xml:space="preserve"> (not used in this sample)</t>
    </r>
    <phoneticPr fontId="4"/>
  </si>
  <si>
    <r>
      <t>Exchange Rate</t>
    </r>
    <r>
      <rPr>
        <sz val="11"/>
        <color rgb="FF0070C0"/>
        <rFont val="游ゴシック"/>
        <family val="3"/>
        <charset val="128"/>
        <scheme val="minor"/>
      </rPr>
      <t xml:space="preserve"> (not used in this sample)</t>
    </r>
    <phoneticPr fontId="4"/>
  </si>
  <si>
    <t>[default: 2.0%]</t>
    <phoneticPr fontId="4"/>
  </si>
  <si>
    <t>[default: 5.0%]</t>
    <phoneticPr fontId="4"/>
  </si>
  <si>
    <t>[default: 12.0%]</t>
    <phoneticPr fontId="4"/>
  </si>
  <si>
    <t>[default: 90.0%]</t>
    <phoneticPr fontId="4"/>
  </si>
  <si>
    <t>[default: 1.0%]</t>
    <phoneticPr fontId="4"/>
  </si>
  <si>
    <t>Taxes (Transfers)</t>
    <phoneticPr fontId="4"/>
  </si>
  <si>
    <r>
      <t xml:space="preserve">Subsidies, </t>
    </r>
    <r>
      <rPr>
        <u/>
        <sz val="11"/>
        <rFont val="游ゴシック"/>
        <family val="3"/>
        <charset val="128"/>
        <scheme val="minor"/>
      </rPr>
      <t>negative costs</t>
    </r>
    <r>
      <rPr>
        <sz val="11"/>
        <rFont val="游ゴシック"/>
        <family val="3"/>
        <charset val="128"/>
        <scheme val="minor"/>
      </rPr>
      <t xml:space="preserve"> (Transfers)</t>
    </r>
    <phoneticPr fontId="4"/>
  </si>
  <si>
    <r>
      <rPr>
        <b/>
        <sz val="11"/>
        <rFont val="游ゴシック"/>
        <family val="3"/>
        <charset val="128"/>
        <scheme val="minor"/>
      </rPr>
      <t>*</t>
    </r>
    <r>
      <rPr>
        <sz val="11"/>
        <rFont val="游ゴシック"/>
        <family val="3"/>
        <charset val="128"/>
        <scheme val="minor"/>
      </rPr>
      <t>There are two methods to enter data and calculate total initial investment costs. One way is to enter cost data directly into the 2b.FCosts sheet. The other way is to enter cost data into the 2a.FCosts sheet, which is based on the Detailed Estimated Cost form (Annexure V(a) of the DPP Manual).  Choose either. Do not use both simultaneously.</t>
    </r>
    <phoneticPr fontId="4"/>
  </si>
  <si>
    <t>Base Costs (w/o Contingencies)</t>
    <phoneticPr fontId="4"/>
  </si>
  <si>
    <t>Data either from above Table or Detailed Estimated Cost (2a.FCosts)*</t>
    <phoneticPr fontId="4"/>
  </si>
  <si>
    <t>PA</t>
    <phoneticPr fontId="4"/>
  </si>
  <si>
    <t>OF</t>
    <phoneticPr fontId="4"/>
  </si>
  <si>
    <t>FC</t>
    <phoneticPr fontId="4"/>
  </si>
  <si>
    <t>Total Initial Investment Costs (w/ Contingencies)</t>
    <phoneticPr fontId="4"/>
  </si>
  <si>
    <t>Total Initial Investment Costs (BC + Physical Contingency)</t>
  </si>
  <si>
    <r>
      <rPr>
        <b/>
        <sz val="11"/>
        <color theme="1"/>
        <rFont val="游ゴシック"/>
        <family val="3"/>
        <charset val="128"/>
        <scheme val="minor"/>
      </rPr>
      <t>*</t>
    </r>
    <r>
      <rPr>
        <sz val="11"/>
        <color theme="1"/>
        <rFont val="游ゴシック"/>
        <family val="2"/>
        <scheme val="minor"/>
      </rPr>
      <t>There are two methods to enter data and calculate total initial investment costs. One way is to enter cost data directly into this 2b.FCosts sheet. The other way is to enter cost data into the 2a.FCosts sheet, which is based on the Detailed Estimated Cost form (Annexure V(a) of the DPP Manual).  Choose either. Do not use both simultaneously.</t>
    </r>
    <phoneticPr fontId="4"/>
  </si>
  <si>
    <t>Total Initial Investment Costs (BC + Physical Contingency)</t>
    <phoneticPr fontId="4"/>
  </si>
  <si>
    <r>
      <t xml:space="preserve">Base Costs (w/o Contingencies) </t>
    </r>
    <r>
      <rPr>
        <b/>
        <sz val="11"/>
        <color rgb="FFFF0000"/>
        <rFont val="游ゴシック"/>
        <family val="3"/>
        <charset val="128"/>
        <scheme val="minor"/>
      </rPr>
      <t>- Transfers</t>
    </r>
    <phoneticPr fontId="4"/>
  </si>
  <si>
    <t>Materials &amp; Equipment Costs [=LC*SPF+FC*(Exchange Rate)]</t>
    <phoneticPr fontId="4"/>
  </si>
  <si>
    <t xml:space="preserve">    Skilled Workers [=LC*SPF+FC*(Exchange Rate)]</t>
    <phoneticPr fontId="4"/>
  </si>
  <si>
    <t>Land Acquisition/Compensation Costs [=LC*SPF+FC*(Exchange Rate)]</t>
    <phoneticPr fontId="4"/>
  </si>
  <si>
    <t>Consultant Costs [=LC*SPF+FC*(Exchange Rate)]</t>
    <phoneticPr fontId="4"/>
  </si>
  <si>
    <t>General/Administrative Costs (Overhead Costs) [=LC*SPF+FC*(Exchange Rate)]</t>
    <phoneticPr fontId="4"/>
  </si>
  <si>
    <t>Physical Contingency [=LC*SPF+FC*(Exchange Rate)]</t>
    <phoneticPr fontId="4"/>
  </si>
  <si>
    <r>
      <t xml:space="preserve">Total Initial Investment Costs (BC + Physical Contingency) </t>
    </r>
    <r>
      <rPr>
        <b/>
        <sz val="11"/>
        <color rgb="FFFF0000"/>
        <rFont val="游ゴシック"/>
        <family val="3"/>
        <charset val="128"/>
        <scheme val="minor"/>
      </rPr>
      <t>- Transfers</t>
    </r>
    <phoneticPr fontId="4"/>
  </si>
  <si>
    <t>Cost Data</t>
    <phoneticPr fontId="4"/>
  </si>
  <si>
    <t>LC</t>
    <phoneticPr fontId="4"/>
  </si>
  <si>
    <r>
      <t xml:space="preserve">    Unskilled Workers [=LC*</t>
    </r>
    <r>
      <rPr>
        <u/>
        <sz val="11"/>
        <color theme="1"/>
        <rFont val="游ゴシック"/>
        <family val="3"/>
        <charset val="128"/>
        <scheme val="minor"/>
      </rPr>
      <t>SWRF</t>
    </r>
    <r>
      <rPr>
        <sz val="11"/>
        <color theme="1"/>
        <rFont val="游ゴシック"/>
        <family val="2"/>
        <scheme val="minor"/>
      </rPr>
      <t>+FC*(Exchange Rate)]</t>
    </r>
    <phoneticPr fontId="4"/>
  </si>
  <si>
    <t>Annual Initial Investment Breakdowns during Construction (%)</t>
    <phoneticPr fontId="4"/>
  </si>
  <si>
    <t>Annual Operating Cost Levels after Construction (cumulative %)</t>
    <phoneticPr fontId="4"/>
  </si>
  <si>
    <t>Annual Revenue Generation during Construction (cumulative %)</t>
    <phoneticPr fontId="4"/>
  </si>
  <si>
    <t>Annual Revenue Generation after Construction (cumulative %)</t>
    <phoneticPr fontId="4"/>
  </si>
  <si>
    <t>Annual Incremental Outputs during Construction (cumulative %)</t>
    <phoneticPr fontId="4"/>
  </si>
  <si>
    <t>Annual Incremental Outputs after Construction (cumulative %)</t>
    <phoneticPr fontId="4"/>
  </si>
  <si>
    <t>Annual Operating Costs after Construction (cumulative %)</t>
    <phoneticPr fontId="4"/>
  </si>
  <si>
    <t>Total Annual Incremental Outputs</t>
    <phoneticPr fontId="4"/>
  </si>
  <si>
    <t>Annual Incremental Outputs Attributable to Transmission</t>
    <phoneticPr fontId="4"/>
  </si>
  <si>
    <t>Input Purchase (e.g., electricity purchase)</t>
    <phoneticPr fontId="4"/>
  </si>
  <si>
    <t>Input Purchase [=LC*SPF+FC*(Exchange Rate)]</t>
    <phoneticPr fontId="4"/>
  </si>
  <si>
    <t>Spares &amp; Maintenance [=LC*SPF+FC*(Exchange Rate)]</t>
    <phoneticPr fontId="4"/>
  </si>
  <si>
    <t>Insurance [=LC*SPF+FC*(Exchange Rate)]</t>
    <phoneticPr fontId="4"/>
  </si>
  <si>
    <r>
      <t xml:space="preserve">    Unskilled Workers [=LC*</t>
    </r>
    <r>
      <rPr>
        <u/>
        <sz val="11"/>
        <rFont val="游ゴシック"/>
        <family val="3"/>
        <charset val="128"/>
        <scheme val="minor"/>
      </rPr>
      <t>SWRF</t>
    </r>
    <r>
      <rPr>
        <sz val="11"/>
        <rFont val="游ゴシック"/>
        <family val="3"/>
        <charset val="128"/>
        <scheme val="minor"/>
      </rPr>
      <t>+FC*(Exchange Rate)]</t>
    </r>
    <phoneticPr fontId="4"/>
  </si>
  <si>
    <t>At Constant Prices/Before Discounting (lakh)</t>
  </si>
  <si>
    <t>Present Values (lakh)</t>
  </si>
  <si>
    <t>FNPV</t>
  </si>
  <si>
    <t>FBCR</t>
  </si>
  <si>
    <t>FIRR</t>
  </si>
  <si>
    <t>Percent of Indirect Benefits Attributable to the Project</t>
    <phoneticPr fontId="4"/>
  </si>
  <si>
    <r>
      <t>Total Annual Cost Savings (Reliability Benefits)</t>
    </r>
    <r>
      <rPr>
        <sz val="11"/>
        <color theme="1"/>
        <rFont val="游ゴシック"/>
        <family val="3"/>
        <charset val="128"/>
        <scheme val="minor"/>
      </rPr>
      <t xml:space="preserve"> [=c*d*e]</t>
    </r>
    <phoneticPr fontId="4"/>
  </si>
  <si>
    <t xml:space="preserve">   Conversion Factor for Traded goods</t>
    <phoneticPr fontId="4"/>
  </si>
  <si>
    <t xml:space="preserve">    Shadow Price Factor (SPF) [=1/ Conversion Factor for Traded goods]</t>
    <phoneticPr fontId="4"/>
  </si>
  <si>
    <t xml:space="preserve">    Shadow Price Factor (SPF) [=1/ Conversion Factor for Traded Goods]</t>
    <phoneticPr fontId="4"/>
  </si>
  <si>
    <r>
      <t xml:space="preserve">Annual Non-Incremental Outputs </t>
    </r>
    <r>
      <rPr>
        <b/>
        <u/>
        <sz val="11"/>
        <color theme="1"/>
        <rFont val="游ゴシック"/>
        <family val="3"/>
        <charset val="128"/>
        <scheme val="minor"/>
      </rPr>
      <t>Attributable to Transmission</t>
    </r>
  </si>
  <si>
    <t>passcode: p1234</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</si>
</sst>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_(* #,##0.00_);_(* \(#,##0.00\);_(* &quot;-&quot;??_);_(@_)"/>
    <numFmt numFmtId="177" formatCode="0.0%"/>
    <numFmt numFmtId="178" formatCode="0.0"/>
    <numFmt numFmtId="179" formatCode="dd\ mmm\ yyyy_);\(###0\);&quot;-  &quot;;&quot; &quot;@&quot; &quot;"/>
    <numFmt numFmtId="180" formatCode="0.000"/>
    <numFmt numFmtId="181" formatCode="0.00_);[Red]\(0.00\)"/>
    <numFmt numFmtId="182" formatCode="0.000%"/>
    <numFmt numFmtId="183" formatCode="0.000000"/>
    <numFmt numFmtId="184" formatCode="0.0000"/>
    <numFmt numFmtId="185" formatCode="#,##0.000_);[Red]\(#,##0.000\)"/>
  </numFmts>
  <fonts count="46" x14ac:knownFonts="1">
    <font>
      <sz val="11"/>
      <color theme="1"/>
      <name val="游ゴシック"/>
      <family val="2"/>
      <scheme val="minor"/>
    </font>
    <font>
      <sz val="11"/>
      <color theme="1"/>
      <name val="游ゴシック"/>
      <family val="2"/>
      <scheme val="minor"/>
    </font>
    <font>
      <sz val="11"/>
      <color rgb="FFFF0000"/>
      <name val="游ゴシック"/>
      <family val="2"/>
      <scheme val="minor"/>
    </font>
    <font>
      <sz val="10"/>
      <name val="Arial"/>
      <family val="2"/>
    </font>
    <font>
      <sz val="6"/>
      <name val="游ゴシック"/>
      <family val="3"/>
      <charset val="128"/>
      <scheme val="minor"/>
    </font>
    <font>
      <b/>
      <sz val="11"/>
      <color theme="1"/>
      <name val="游ゴシック"/>
      <family val="3"/>
      <charset val="128"/>
      <scheme val="minor"/>
    </font>
    <font>
      <b/>
      <sz val="12"/>
      <color theme="1"/>
      <name val="游ゴシック"/>
      <family val="3"/>
      <charset val="128"/>
      <scheme val="minor"/>
    </font>
    <font>
      <sz val="11"/>
      <color theme="1"/>
      <name val="游ゴシック"/>
      <family val="3"/>
      <charset val="128"/>
      <scheme val="minor"/>
    </font>
    <font>
      <sz val="11"/>
      <color rgb="FF002060"/>
      <name val="游ゴシック"/>
      <family val="3"/>
      <charset val="128"/>
      <scheme val="minor"/>
    </font>
    <font>
      <sz val="11"/>
      <name val="游ゴシック"/>
      <family val="3"/>
      <charset val="128"/>
      <scheme val="minor"/>
    </font>
    <font>
      <b/>
      <sz val="12"/>
      <name val="游ゴシック"/>
      <family val="3"/>
      <charset val="128"/>
      <scheme val="minor"/>
    </font>
    <font>
      <b/>
      <sz val="11"/>
      <name val="游ゴシック"/>
      <family val="3"/>
      <charset val="128"/>
      <scheme val="minor"/>
    </font>
    <font>
      <sz val="18"/>
      <name val="游ゴシック"/>
      <family val="3"/>
      <charset val="128"/>
      <scheme val="minor"/>
    </font>
    <font>
      <b/>
      <u/>
      <sz val="11"/>
      <color theme="1"/>
      <name val="游ゴシック"/>
      <family val="3"/>
      <charset val="128"/>
      <scheme val="minor"/>
    </font>
    <font>
      <sz val="12"/>
      <name val="游ゴシック"/>
      <family val="3"/>
      <charset val="128"/>
      <scheme val="minor"/>
    </font>
    <font>
      <i/>
      <sz val="11"/>
      <name val="游ゴシック"/>
      <family val="3"/>
      <charset val="128"/>
      <scheme val="minor"/>
    </font>
    <font>
      <sz val="11"/>
      <color rgb="FFFF0000"/>
      <name val="游ゴシック"/>
      <family val="3"/>
      <charset val="128"/>
      <scheme val="minor"/>
    </font>
    <font>
      <b/>
      <sz val="11"/>
      <color rgb="FFFF0000"/>
      <name val="游ゴシック"/>
      <family val="3"/>
      <charset val="128"/>
      <scheme val="minor"/>
    </font>
    <font>
      <sz val="9"/>
      <color theme="1"/>
      <name val="游ゴシック"/>
      <family val="3"/>
      <charset val="128"/>
      <scheme val="minor"/>
    </font>
    <font>
      <sz val="9"/>
      <color rgb="FFFF0000"/>
      <name val="游ゴシック"/>
      <family val="3"/>
      <charset val="128"/>
      <scheme val="minor"/>
    </font>
    <font>
      <sz val="9"/>
      <name val="游ゴシック"/>
      <family val="3"/>
      <charset val="128"/>
      <scheme val="minor"/>
    </font>
    <font>
      <sz val="9"/>
      <color theme="1"/>
      <name val="游ゴシック"/>
      <family val="2"/>
      <scheme val="minor"/>
    </font>
    <font>
      <b/>
      <i/>
      <u/>
      <sz val="11"/>
      <color theme="4" tint="-0.249977111117893"/>
      <name val="游ゴシック"/>
      <family val="3"/>
      <charset val="128"/>
      <scheme val="minor"/>
    </font>
    <font>
      <b/>
      <i/>
      <u/>
      <sz val="11"/>
      <color theme="5" tint="-0.249977111117893"/>
      <name val="游ゴシック"/>
      <family val="3"/>
      <charset val="128"/>
      <scheme val="minor"/>
    </font>
    <font>
      <strike/>
      <sz val="11"/>
      <color theme="1"/>
      <name val="游ゴシック"/>
      <family val="2"/>
      <scheme val="minor"/>
    </font>
    <font>
      <strike/>
      <sz val="11"/>
      <color theme="1"/>
      <name val="游ゴシック"/>
      <family val="3"/>
      <charset val="128"/>
      <scheme val="minor"/>
    </font>
    <font>
      <strike/>
      <sz val="9"/>
      <color theme="1"/>
      <name val="游ゴシック"/>
      <family val="3"/>
      <charset val="128"/>
      <scheme val="minor"/>
    </font>
    <font>
      <b/>
      <strike/>
      <sz val="11"/>
      <name val="游ゴシック"/>
      <family val="3"/>
      <charset val="128"/>
      <scheme val="minor"/>
    </font>
    <font>
      <strike/>
      <sz val="11"/>
      <name val="游ゴシック"/>
      <family val="3"/>
      <charset val="128"/>
      <scheme val="minor"/>
    </font>
    <font>
      <i/>
      <u/>
      <sz val="11"/>
      <color theme="1"/>
      <name val="游ゴシック"/>
      <family val="3"/>
      <charset val="128"/>
      <scheme val="minor"/>
    </font>
    <font>
      <sz val="9"/>
      <color rgb="FFFF0000"/>
      <name val="游ゴシック"/>
      <family val="2"/>
      <scheme val="minor"/>
    </font>
    <font>
      <sz val="9"/>
      <color rgb="FF0070C0"/>
      <name val="游ゴシック"/>
      <family val="3"/>
      <charset val="128"/>
      <scheme val="minor"/>
    </font>
    <font>
      <i/>
      <u/>
      <sz val="11"/>
      <name val="游ゴシック"/>
      <family val="3"/>
      <charset val="128"/>
      <scheme val="minor"/>
    </font>
    <font>
      <sz val="9"/>
      <color rgb="FF0070C0"/>
      <name val="游ゴシック"/>
      <family val="2"/>
      <scheme val="minor"/>
    </font>
    <font>
      <sz val="18"/>
      <color theme="1"/>
      <name val="游ゴシック"/>
      <family val="2"/>
      <scheme val="minor"/>
    </font>
    <font>
      <u/>
      <sz val="11"/>
      <color theme="10"/>
      <name val="游ゴシック"/>
      <family val="2"/>
      <scheme val="minor"/>
    </font>
    <font>
      <u/>
      <sz val="11"/>
      <color theme="10"/>
      <name val="游ゴシック"/>
      <family val="3"/>
      <charset val="128"/>
      <scheme val="minor"/>
    </font>
    <font>
      <b/>
      <u/>
      <sz val="11"/>
      <color theme="10"/>
      <name val="游ゴシック"/>
      <family val="3"/>
      <charset val="128"/>
      <scheme val="minor"/>
    </font>
    <font>
      <sz val="10"/>
      <color theme="1"/>
      <name val="游ゴシック"/>
      <family val="2"/>
      <scheme val="minor"/>
    </font>
    <font>
      <b/>
      <sz val="12"/>
      <color rgb="FFFF0000"/>
      <name val="游ゴシック"/>
      <family val="3"/>
      <charset val="128"/>
      <scheme val="minor"/>
    </font>
    <font>
      <sz val="11"/>
      <color rgb="FF0070C0"/>
      <name val="游ゴシック"/>
      <family val="3"/>
      <charset val="128"/>
      <scheme val="minor"/>
    </font>
    <font>
      <b/>
      <i/>
      <u/>
      <sz val="11"/>
      <color rgb="FFFF0000"/>
      <name val="游ゴシック"/>
      <family val="3"/>
      <charset val="128"/>
      <scheme val="minor"/>
    </font>
    <font>
      <u/>
      <sz val="11"/>
      <name val="游ゴシック"/>
      <family val="3"/>
      <charset val="128"/>
      <scheme val="minor"/>
    </font>
    <font>
      <b/>
      <i/>
      <sz val="11"/>
      <color theme="1"/>
      <name val="游ゴシック"/>
      <family val="3"/>
      <charset val="128"/>
      <scheme val="minor"/>
    </font>
    <font>
      <b/>
      <strike/>
      <sz val="11"/>
      <color theme="1"/>
      <name val="游ゴシック"/>
      <family val="3"/>
      <charset val="128"/>
      <scheme val="minor"/>
    </font>
    <font>
      <u/>
      <sz val="11"/>
      <color theme="1"/>
      <name val="游ゴシック"/>
      <family val="3"/>
      <charset val="128"/>
      <scheme val="minor"/>
    </font>
  </fonts>
  <fills count="11">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3" tint="0.79998168889431442"/>
        <bgColor indexed="64"/>
      </patternFill>
    </fill>
  </fills>
  <borders count="39">
    <border>
      <left/>
      <right/>
      <top/>
      <bottom/>
      <diagonal/>
    </border>
    <border>
      <left/>
      <right/>
      <top style="medium">
        <color indexed="64"/>
      </top>
      <bottom/>
      <diagonal/>
    </border>
    <border>
      <left/>
      <right/>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style="medium">
        <color indexed="64"/>
      </bottom>
      <diagonal/>
    </border>
  </borders>
  <cellStyleXfs count="9">
    <xf numFmtId="0" fontId="0" fillId="0" borderId="0"/>
    <xf numFmtId="9" fontId="1" fillId="0" borderId="0" applyFont="0" applyFill="0" applyBorder="0" applyAlignment="0" applyProtection="0"/>
    <xf numFmtId="179" fontId="3" fillId="0" borderId="0" applyFont="0" applyFill="0" applyBorder="0" applyProtection="0">
      <alignment vertical="top"/>
    </xf>
    <xf numFmtId="0" fontId="3" fillId="0" borderId="0"/>
    <xf numFmtId="38" fontId="1" fillId="0" borderId="0" applyFont="0" applyFill="0" applyBorder="0" applyAlignment="0" applyProtection="0">
      <alignment vertical="center"/>
    </xf>
    <xf numFmtId="0" fontId="3" fillId="0" borderId="0"/>
    <xf numFmtId="176" fontId="3" fillId="0" borderId="0" applyFont="0" applyFill="0" applyBorder="0" applyAlignment="0" applyProtection="0"/>
    <xf numFmtId="40" fontId="1" fillId="0" borderId="0" applyFont="0" applyFill="0" applyBorder="0" applyAlignment="0" applyProtection="0">
      <alignment vertical="center"/>
    </xf>
    <xf numFmtId="0" fontId="35" fillId="0" borderId="0" applyNumberFormat="0" applyFill="0" applyBorder="0" applyAlignment="0" applyProtection="0"/>
  </cellStyleXfs>
  <cellXfs count="423">
    <xf numFmtId="0" fontId="0" fillId="0" borderId="0" xfId="0"/>
    <xf numFmtId="0" fontId="0" fillId="0" borderId="4" xfId="0" applyBorder="1"/>
    <xf numFmtId="180" fontId="0" fillId="0" borderId="0" xfId="0" applyNumberFormat="1"/>
    <xf numFmtId="0" fontId="0" fillId="3" borderId="0" xfId="0" applyFill="1"/>
    <xf numFmtId="0" fontId="0" fillId="4" borderId="0" xfId="0" applyFill="1"/>
    <xf numFmtId="0" fontId="6" fillId="3" borderId="0" xfId="0" applyFont="1" applyFill="1"/>
    <xf numFmtId="0" fontId="6" fillId="0" borderId="0" xfId="0" applyFont="1"/>
    <xf numFmtId="0" fontId="0" fillId="4" borderId="3" xfId="0" applyFill="1" applyBorder="1" applyAlignment="1">
      <alignment horizontal="center" vertical="center"/>
    </xf>
    <xf numFmtId="0" fontId="0" fillId="4" borderId="3" xfId="0" applyFill="1" applyBorder="1" applyAlignment="1">
      <alignment horizontal="center" vertical="center" wrapText="1"/>
    </xf>
    <xf numFmtId="0" fontId="0" fillId="4" borderId="3" xfId="0" applyFill="1" applyBorder="1"/>
    <xf numFmtId="0" fontId="5" fillId="0" borderId="0" xfId="0" applyFont="1"/>
    <xf numFmtId="0" fontId="0" fillId="4" borderId="5" xfId="0" applyFill="1" applyBorder="1" applyAlignment="1">
      <alignment horizontal="center"/>
    </xf>
    <xf numFmtId="0" fontId="0" fillId="4" borderId="4" xfId="0" applyFill="1" applyBorder="1" applyAlignment="1">
      <alignment horizontal="center" vertical="center"/>
    </xf>
    <xf numFmtId="0" fontId="0" fillId="4" borderId="4" xfId="0" applyFill="1" applyBorder="1" applyAlignment="1">
      <alignment horizontal="center" wrapText="1"/>
    </xf>
    <xf numFmtId="0" fontId="0" fillId="4" borderId="4" xfId="1" applyNumberFormat="1" applyFont="1" applyFill="1" applyBorder="1" applyAlignment="1">
      <alignment horizontal="center" vertical="center"/>
    </xf>
    <xf numFmtId="0" fontId="5" fillId="4" borderId="3" xfId="0" applyFont="1" applyFill="1" applyBorder="1" applyAlignment="1">
      <alignment horizontal="center"/>
    </xf>
    <xf numFmtId="0" fontId="0" fillId="4" borderId="0" xfId="0" applyFill="1" applyAlignment="1">
      <alignment horizontal="left" vertical="center"/>
    </xf>
    <xf numFmtId="0" fontId="0" fillId="4" borderId="4" xfId="0" applyFill="1" applyBorder="1"/>
    <xf numFmtId="0" fontId="2" fillId="0" borderId="0" xfId="0" applyFont="1"/>
    <xf numFmtId="0" fontId="5" fillId="4" borderId="4" xfId="0" applyFont="1" applyFill="1" applyBorder="1"/>
    <xf numFmtId="0" fontId="7" fillId="4" borderId="0" xfId="0" applyFont="1" applyFill="1"/>
    <xf numFmtId="0" fontId="5" fillId="4" borderId="0" xfId="0" applyFont="1" applyFill="1"/>
    <xf numFmtId="0" fontId="5" fillId="4" borderId="5" xfId="0" applyFont="1" applyFill="1" applyBorder="1"/>
    <xf numFmtId="0" fontId="5" fillId="0" borderId="0" xfId="0" applyFont="1" applyAlignment="1">
      <alignment horizontal="center"/>
    </xf>
    <xf numFmtId="0" fontId="8" fillId="0" borderId="0" xfId="0" applyFont="1"/>
    <xf numFmtId="0" fontId="9" fillId="0" borderId="0" xfId="0" applyFont="1"/>
    <xf numFmtId="0" fontId="10" fillId="3" borderId="0" xfId="0" applyFont="1" applyFill="1"/>
    <xf numFmtId="0" fontId="9" fillId="3" borderId="0" xfId="0" applyFont="1" applyFill="1"/>
    <xf numFmtId="0" fontId="10" fillId="0" borderId="0" xfId="0" applyFont="1"/>
    <xf numFmtId="0" fontId="9" fillId="4" borderId="0" xfId="0" applyFont="1" applyFill="1"/>
    <xf numFmtId="9" fontId="9" fillId="0" borderId="0" xfId="1" applyFont="1" applyFill="1" applyBorder="1"/>
    <xf numFmtId="0" fontId="11" fillId="0" borderId="0" xfId="0" applyFont="1"/>
    <xf numFmtId="0" fontId="9" fillId="4" borderId="3" xfId="0" applyFont="1" applyFill="1" applyBorder="1" applyAlignment="1">
      <alignment horizontal="center" vertical="center"/>
    </xf>
    <xf numFmtId="0" fontId="9" fillId="4" borderId="3" xfId="0" applyFont="1" applyFill="1" applyBorder="1" applyAlignment="1">
      <alignment horizontal="center" wrapText="1"/>
    </xf>
    <xf numFmtId="0" fontId="9" fillId="4" borderId="3" xfId="0" applyFont="1" applyFill="1" applyBorder="1" applyAlignment="1">
      <alignment horizontal="center" vertical="center" wrapText="1"/>
    </xf>
    <xf numFmtId="0" fontId="12" fillId="0" borderId="0" xfId="0" applyFont="1" applyAlignment="1">
      <alignment horizontal="center" vertical="center"/>
    </xf>
    <xf numFmtId="0" fontId="11" fillId="4" borderId="3" xfId="0" applyFont="1" applyFill="1" applyBorder="1" applyAlignment="1">
      <alignment horizontal="center"/>
    </xf>
    <xf numFmtId="0" fontId="9" fillId="4" borderId="0" xfId="0" applyFont="1" applyFill="1" applyAlignment="1">
      <alignment horizontal="left" vertical="center"/>
    </xf>
    <xf numFmtId="0" fontId="9" fillId="0" borderId="4" xfId="0" applyFont="1" applyBorder="1"/>
    <xf numFmtId="38" fontId="0" fillId="0" borderId="0" xfId="0" applyNumberFormat="1"/>
    <xf numFmtId="38" fontId="5" fillId="0" borderId="4" xfId="0" applyNumberFormat="1" applyFont="1" applyBorder="1"/>
    <xf numFmtId="38" fontId="0" fillId="0" borderId="4" xfId="0" applyNumberFormat="1" applyBorder="1"/>
    <xf numFmtId="38" fontId="5" fillId="0" borderId="0" xfId="0" applyNumberFormat="1" applyFont="1"/>
    <xf numFmtId="38" fontId="5" fillId="0" borderId="5" xfId="0" applyNumberFormat="1" applyFont="1" applyBorder="1"/>
    <xf numFmtId="38" fontId="0" fillId="0" borderId="5" xfId="0" applyNumberFormat="1" applyBorder="1"/>
    <xf numFmtId="38" fontId="9" fillId="0" borderId="0" xfId="4" applyFont="1" applyFill="1" applyBorder="1" applyAlignment="1"/>
    <xf numFmtId="38" fontId="9" fillId="0" borderId="3" xfId="4" applyFont="1" applyFill="1" applyBorder="1" applyAlignment="1"/>
    <xf numFmtId="38" fontId="9" fillId="0" borderId="4" xfId="4" applyFont="1" applyFill="1" applyBorder="1" applyAlignment="1"/>
    <xf numFmtId="38" fontId="9" fillId="0" borderId="5" xfId="4" applyFont="1" applyFill="1" applyBorder="1" applyAlignment="1"/>
    <xf numFmtId="38" fontId="9" fillId="0" borderId="0" xfId="4" applyFont="1" applyAlignment="1"/>
    <xf numFmtId="38" fontId="9" fillId="0" borderId="3" xfId="4" applyFont="1" applyBorder="1" applyAlignment="1"/>
    <xf numFmtId="38" fontId="0" fillId="0" borderId="5" xfId="4" applyFont="1" applyBorder="1" applyAlignment="1"/>
    <xf numFmtId="38" fontId="0" fillId="0" borderId="0" xfId="4" applyFont="1" applyAlignment="1"/>
    <xf numFmtId="38" fontId="0" fillId="0" borderId="0" xfId="4" applyFont="1" applyFill="1" applyAlignment="1"/>
    <xf numFmtId="38" fontId="0" fillId="0" borderId="3" xfId="4" applyFont="1" applyBorder="1" applyAlignment="1"/>
    <xf numFmtId="38" fontId="0" fillId="0" borderId="0" xfId="4" applyFont="1" applyFill="1" applyBorder="1" applyAlignment="1"/>
    <xf numFmtId="38" fontId="0" fillId="0" borderId="3" xfId="4" applyFont="1" applyFill="1" applyBorder="1" applyAlignment="1"/>
    <xf numFmtId="38" fontId="0" fillId="0" borderId="0" xfId="4" applyFont="1" applyBorder="1" applyAlignment="1"/>
    <xf numFmtId="38" fontId="5" fillId="0" borderId="0" xfId="4" applyFont="1" applyBorder="1" applyAlignment="1"/>
    <xf numFmtId="38" fontId="5" fillId="0" borderId="5" xfId="4" applyFont="1" applyBorder="1" applyAlignment="1"/>
    <xf numFmtId="38" fontId="5" fillId="0" borderId="4" xfId="4" applyFont="1" applyBorder="1" applyAlignment="1"/>
    <xf numFmtId="38" fontId="0" fillId="0" borderId="4" xfId="4" applyFont="1" applyBorder="1" applyAlignment="1"/>
    <xf numFmtId="38" fontId="0" fillId="0" borderId="4" xfId="4" applyFont="1" applyFill="1" applyBorder="1" applyAlignment="1"/>
    <xf numFmtId="38" fontId="5" fillId="0" borderId="3" xfId="4" applyFont="1" applyBorder="1" applyAlignment="1"/>
    <xf numFmtId="0" fontId="5" fillId="4" borderId="5" xfId="0" applyFont="1" applyFill="1" applyBorder="1" applyAlignment="1">
      <alignment horizontal="center"/>
    </xf>
    <xf numFmtId="0" fontId="0" fillId="4" borderId="3" xfId="1" applyNumberFormat="1" applyFont="1" applyFill="1" applyBorder="1" applyAlignment="1">
      <alignment horizontal="center" vertical="center"/>
    </xf>
    <xf numFmtId="38" fontId="0" fillId="0" borderId="5" xfId="4" applyFont="1" applyFill="1" applyBorder="1" applyAlignment="1"/>
    <xf numFmtId="9" fontId="0" fillId="0" borderId="0" xfId="1" applyFont="1" applyFill="1" applyBorder="1"/>
    <xf numFmtId="38" fontId="7" fillId="0" borderId="5" xfId="4" applyFont="1" applyBorder="1" applyAlignment="1"/>
    <xf numFmtId="38" fontId="11" fillId="0" borderId="3" xfId="4" applyFont="1" applyFill="1" applyBorder="1" applyAlignment="1"/>
    <xf numFmtId="0" fontId="11" fillId="0" borderId="0" xfId="0" applyFont="1" applyAlignment="1">
      <alignment horizontal="center"/>
    </xf>
    <xf numFmtId="9" fontId="0" fillId="0" borderId="4" xfId="1" applyFont="1" applyBorder="1"/>
    <xf numFmtId="9" fontId="0" fillId="0" borderId="4" xfId="1" applyFont="1" applyFill="1" applyBorder="1"/>
    <xf numFmtId="38" fontId="0" fillId="0" borderId="0" xfId="4" quotePrefix="1" applyFont="1" applyBorder="1" applyAlignment="1">
      <alignment horizontal="center"/>
    </xf>
    <xf numFmtId="2" fontId="11" fillId="0" borderId="0" xfId="1" applyNumberFormat="1" applyFont="1" applyFill="1" applyBorder="1"/>
    <xf numFmtId="9" fontId="0" fillId="0" borderId="2" xfId="1" applyFont="1" applyFill="1" applyBorder="1"/>
    <xf numFmtId="177" fontId="5" fillId="0" borderId="0" xfId="1" applyNumberFormat="1" applyFont="1" applyBorder="1" applyAlignment="1"/>
    <xf numFmtId="0" fontId="7" fillId="0" borderId="0" xfId="0" applyFont="1"/>
    <xf numFmtId="177" fontId="0" fillId="0" borderId="0" xfId="1" applyNumberFormat="1" applyFont="1"/>
    <xf numFmtId="0" fontId="0" fillId="4" borderId="0" xfId="0" applyFill="1" applyAlignment="1">
      <alignment horizontal="center"/>
    </xf>
    <xf numFmtId="38" fontId="7" fillId="0" borderId="0" xfId="4" applyFont="1" applyBorder="1" applyAlignment="1"/>
    <xf numFmtId="0" fontId="0" fillId="6" borderId="4" xfId="0" applyFill="1" applyBorder="1" applyAlignment="1">
      <alignment horizontal="center" vertical="center"/>
    </xf>
    <xf numFmtId="0" fontId="0" fillId="6" borderId="4" xfId="1" applyNumberFormat="1" applyFont="1" applyFill="1" applyBorder="1" applyAlignment="1">
      <alignment horizontal="center" vertical="center"/>
    </xf>
    <xf numFmtId="0" fontId="0" fillId="6" borderId="5" xfId="0" applyFill="1" applyBorder="1" applyAlignment="1">
      <alignment horizontal="center"/>
    </xf>
    <xf numFmtId="0" fontId="0" fillId="6" borderId="3" xfId="0" applyFill="1" applyBorder="1" applyAlignment="1">
      <alignment horizontal="center" vertical="center"/>
    </xf>
    <xf numFmtId="0" fontId="0" fillId="6" borderId="3" xfId="1" applyNumberFormat="1" applyFont="1" applyFill="1" applyBorder="1" applyAlignment="1">
      <alignment horizontal="center" vertical="center"/>
    </xf>
    <xf numFmtId="40" fontId="0" fillId="0" borderId="0" xfId="0" applyNumberFormat="1"/>
    <xf numFmtId="0" fontId="14" fillId="0" borderId="0" xfId="5" applyFont="1"/>
    <xf numFmtId="0" fontId="14" fillId="3" borderId="0" xfId="5" applyFont="1" applyFill="1"/>
    <xf numFmtId="0" fontId="10" fillId="3" borderId="0" xfId="5" applyFont="1" applyFill="1" applyAlignment="1">
      <alignment horizontal="center"/>
    </xf>
    <xf numFmtId="0" fontId="9" fillId="0" borderId="0" xfId="5" applyFont="1"/>
    <xf numFmtId="0" fontId="9" fillId="0" borderId="10" xfId="5" applyFont="1" applyBorder="1"/>
    <xf numFmtId="0" fontId="9" fillId="0" borderId="3" xfId="5" applyFont="1" applyBorder="1"/>
    <xf numFmtId="0" fontId="9" fillId="0" borderId="11" xfId="5" applyFont="1" applyBorder="1"/>
    <xf numFmtId="0" fontId="9" fillId="0" borderId="17" xfId="5" applyFont="1" applyBorder="1" applyAlignment="1">
      <alignment horizontal="center" vertical="center" wrapText="1"/>
    </xf>
    <xf numFmtId="0" fontId="9" fillId="0" borderId="17" xfId="5" applyFont="1" applyBorder="1" applyAlignment="1">
      <alignment horizontal="left" vertical="center" wrapText="1"/>
    </xf>
    <xf numFmtId="0" fontId="9" fillId="0" borderId="17" xfId="5" applyFont="1" applyBorder="1" applyAlignment="1">
      <alignment horizontal="center"/>
    </xf>
    <xf numFmtId="2" fontId="9" fillId="0" borderId="0" xfId="5" applyNumberFormat="1" applyFont="1"/>
    <xf numFmtId="176" fontId="9" fillId="0" borderId="0" xfId="6" applyFont="1"/>
    <xf numFmtId="0" fontId="16" fillId="0" borderId="17" xfId="5" applyFont="1" applyBorder="1" applyAlignment="1">
      <alignment horizontal="center"/>
    </xf>
    <xf numFmtId="10" fontId="16" fillId="0" borderId="17" xfId="5" applyNumberFormat="1" applyFont="1" applyBorder="1" applyAlignment="1">
      <alignment horizontal="center"/>
    </xf>
    <xf numFmtId="0" fontId="9" fillId="0" borderId="17" xfId="5" applyFont="1" applyBorder="1"/>
    <xf numFmtId="0" fontId="9" fillId="4" borderId="17" xfId="5" applyFont="1" applyFill="1" applyBorder="1" applyAlignment="1">
      <alignment horizontal="center" vertical="top" wrapText="1"/>
    </xf>
    <xf numFmtId="0" fontId="9" fillId="4" borderId="17" xfId="5" applyFont="1" applyFill="1" applyBorder="1" applyAlignment="1">
      <alignment horizontal="center" wrapText="1"/>
    </xf>
    <xf numFmtId="0" fontId="15" fillId="4" borderId="17" xfId="5" quotePrefix="1" applyFont="1" applyFill="1" applyBorder="1" applyAlignment="1">
      <alignment horizontal="center" vertical="center" wrapText="1"/>
    </xf>
    <xf numFmtId="0" fontId="15" fillId="4" borderId="17" xfId="5" quotePrefix="1" applyFont="1" applyFill="1" applyBorder="1" applyAlignment="1">
      <alignment horizontal="center" vertical="center"/>
    </xf>
    <xf numFmtId="0" fontId="6" fillId="0" borderId="0" xfId="0" applyFont="1" applyAlignment="1">
      <alignment horizontal="right"/>
    </xf>
    <xf numFmtId="38" fontId="10" fillId="5" borderId="0" xfId="4" applyFont="1" applyFill="1" applyAlignment="1"/>
    <xf numFmtId="177" fontId="6" fillId="5" borderId="0" xfId="0" applyNumberFormat="1" applyFont="1" applyFill="1"/>
    <xf numFmtId="181" fontId="6" fillId="5" borderId="0" xfId="0" applyNumberFormat="1" applyFont="1" applyFill="1"/>
    <xf numFmtId="0" fontId="7" fillId="4" borderId="4" xfId="0" applyFont="1" applyFill="1" applyBorder="1" applyAlignment="1">
      <alignment horizontal="center" vertical="center"/>
    </xf>
    <xf numFmtId="0" fontId="7" fillId="4" borderId="4" xfId="0" applyFont="1" applyFill="1" applyBorder="1"/>
    <xf numFmtId="0" fontId="7" fillId="4" borderId="5" xfId="0" applyFont="1" applyFill="1" applyBorder="1"/>
    <xf numFmtId="0" fontId="7" fillId="4" borderId="4" xfId="0" applyFont="1" applyFill="1" applyBorder="1" applyAlignment="1">
      <alignment horizontal="center" vertical="center" wrapText="1"/>
    </xf>
    <xf numFmtId="40" fontId="5" fillId="0" borderId="0" xfId="4" applyNumberFormat="1" applyFont="1" applyBorder="1" applyAlignment="1"/>
    <xf numFmtId="40" fontId="5" fillId="0" borderId="0" xfId="0" applyNumberFormat="1" applyFont="1"/>
    <xf numFmtId="0" fontId="7" fillId="0" borderId="0" xfId="0" applyFont="1" applyAlignment="1">
      <alignment horizontal="center" vertical="center" wrapText="1"/>
    </xf>
    <xf numFmtId="177" fontId="5" fillId="0" borderId="5" xfId="1" applyNumberFormat="1" applyFont="1" applyBorder="1"/>
    <xf numFmtId="177" fontId="0" fillId="0" borderId="5" xfId="1" applyNumberFormat="1" applyFont="1" applyBorder="1"/>
    <xf numFmtId="0" fontId="14" fillId="0" borderId="0" xfId="5" applyFont="1" applyAlignment="1">
      <alignment horizontal="center"/>
    </xf>
    <xf numFmtId="0" fontId="14" fillId="0" borderId="0" xfId="5" quotePrefix="1" applyFont="1" applyAlignment="1">
      <alignment horizontal="right"/>
    </xf>
    <xf numFmtId="0" fontId="9" fillId="0" borderId="17" xfId="5" applyFont="1" applyBorder="1" applyAlignment="1">
      <alignment vertical="center" wrapText="1"/>
    </xf>
    <xf numFmtId="9" fontId="9" fillId="0" borderId="17" xfId="1" applyFont="1" applyBorder="1" applyAlignment="1">
      <alignment vertical="top"/>
    </xf>
    <xf numFmtId="38" fontId="17" fillId="0" borderId="3" xfId="4" applyFont="1" applyBorder="1" applyAlignment="1"/>
    <xf numFmtId="38" fontId="17" fillId="0" borderId="5" xfId="4" applyFont="1" applyBorder="1" applyAlignment="1"/>
    <xf numFmtId="178" fontId="0" fillId="0" borderId="0" xfId="0" applyNumberFormat="1"/>
    <xf numFmtId="0" fontId="18" fillId="0" borderId="0" xfId="0" applyFont="1"/>
    <xf numFmtId="0" fontId="18" fillId="3" borderId="0" xfId="0" applyFont="1" applyFill="1"/>
    <xf numFmtId="0" fontId="18" fillId="4" borderId="0" xfId="0" applyFont="1" applyFill="1" applyAlignment="1">
      <alignment horizontal="center"/>
    </xf>
    <xf numFmtId="0" fontId="18" fillId="0" borderId="0" xfId="0" applyFont="1" applyAlignment="1">
      <alignment horizontal="center"/>
    </xf>
    <xf numFmtId="0" fontId="18" fillId="4" borderId="0" xfId="0" quotePrefix="1" applyFont="1" applyFill="1" applyAlignment="1">
      <alignment horizontal="center"/>
    </xf>
    <xf numFmtId="0" fontId="20" fillId="4" borderId="0" xfId="0" quotePrefix="1" applyFont="1" applyFill="1" applyAlignment="1">
      <alignment horizontal="center"/>
    </xf>
    <xf numFmtId="0" fontId="20" fillId="3" borderId="0" xfId="0" applyFont="1" applyFill="1" applyAlignment="1">
      <alignment horizontal="center"/>
    </xf>
    <xf numFmtId="0" fontId="18" fillId="4" borderId="0" xfId="0" quotePrefix="1" applyFont="1" applyFill="1" applyAlignment="1">
      <alignment horizontal="center" vertical="center"/>
    </xf>
    <xf numFmtId="0" fontId="20" fillId="4" borderId="0" xfId="0" quotePrefix="1" applyFont="1" applyFill="1" applyAlignment="1">
      <alignment horizontal="center" vertical="center"/>
    </xf>
    <xf numFmtId="0" fontId="21" fillId="0" borderId="0" xfId="0" quotePrefix="1" applyFont="1"/>
    <xf numFmtId="0" fontId="0" fillId="0" borderId="0" xfId="0" applyAlignment="1">
      <alignment horizontal="center"/>
    </xf>
    <xf numFmtId="9" fontId="0" fillId="0" borderId="0" xfId="0" applyNumberFormat="1"/>
    <xf numFmtId="0" fontId="18" fillId="0" borderId="4" xfId="0" applyFont="1" applyBorder="1" applyAlignment="1">
      <alignment horizontal="center"/>
    </xf>
    <xf numFmtId="177" fontId="0" fillId="0" borderId="4" xfId="1" applyNumberFormat="1" applyFont="1" applyBorder="1"/>
    <xf numFmtId="177" fontId="0" fillId="0" borderId="0" xfId="1" applyNumberFormat="1" applyFont="1" applyBorder="1"/>
    <xf numFmtId="0" fontId="18" fillId="0" borderId="5" xfId="0" applyFont="1" applyBorder="1" applyAlignment="1">
      <alignment horizontal="center"/>
    </xf>
    <xf numFmtId="0" fontId="21" fillId="0" borderId="4" xfId="0" applyFont="1" applyBorder="1" applyAlignment="1">
      <alignment horizontal="center"/>
    </xf>
    <xf numFmtId="38" fontId="0" fillId="0" borderId="14" xfId="0" applyNumberFormat="1" applyBorder="1"/>
    <xf numFmtId="177" fontId="0" fillId="0" borderId="12" xfId="1" applyNumberFormat="1" applyFont="1" applyBorder="1"/>
    <xf numFmtId="38" fontId="0" fillId="0" borderId="20" xfId="0" applyNumberFormat="1" applyBorder="1"/>
    <xf numFmtId="177" fontId="0" fillId="0" borderId="15" xfId="1" applyNumberFormat="1" applyFont="1" applyBorder="1"/>
    <xf numFmtId="38" fontId="0" fillId="0" borderId="19" xfId="0" applyNumberFormat="1" applyBorder="1"/>
    <xf numFmtId="177" fontId="0" fillId="0" borderId="18" xfId="1" applyNumberFormat="1" applyFont="1" applyBorder="1"/>
    <xf numFmtId="38" fontId="0" fillId="0" borderId="20" xfId="4" applyFont="1" applyBorder="1" applyAlignment="1"/>
    <xf numFmtId="38" fontId="0" fillId="0" borderId="19" xfId="4" applyFont="1" applyBorder="1" applyAlignment="1"/>
    <xf numFmtId="38" fontId="0" fillId="0" borderId="14" xfId="4" applyFont="1" applyBorder="1" applyAlignment="1"/>
    <xf numFmtId="177" fontId="0" fillId="0" borderId="15" xfId="0" applyNumberFormat="1" applyBorder="1"/>
    <xf numFmtId="177" fontId="0" fillId="0" borderId="18" xfId="0" applyNumberFormat="1" applyBorder="1"/>
    <xf numFmtId="40" fontId="0" fillId="0" borderId="9" xfId="0" applyNumberFormat="1" applyBorder="1"/>
    <xf numFmtId="10" fontId="0" fillId="0" borderId="9" xfId="1" applyNumberFormat="1" applyFont="1" applyBorder="1"/>
    <xf numFmtId="0" fontId="18" fillId="4" borderId="4" xfId="0" applyFont="1" applyFill="1" applyBorder="1" applyAlignment="1">
      <alignment horizontal="center"/>
    </xf>
    <xf numFmtId="0" fontId="18" fillId="4" borderId="5" xfId="0" applyFont="1" applyFill="1" applyBorder="1" applyAlignment="1">
      <alignment horizontal="center"/>
    </xf>
    <xf numFmtId="0" fontId="0" fillId="4" borderId="19" xfId="0" applyFill="1" applyBorder="1" applyAlignment="1">
      <alignment horizontal="center"/>
    </xf>
    <xf numFmtId="0" fontId="0" fillId="4" borderId="18" xfId="0" applyFill="1" applyBorder="1" applyAlignment="1">
      <alignment horizontal="center"/>
    </xf>
    <xf numFmtId="0" fontId="0" fillId="4" borderId="20" xfId="0" applyFill="1" applyBorder="1" applyAlignment="1">
      <alignment horizontal="center"/>
    </xf>
    <xf numFmtId="0" fontId="0" fillId="4" borderId="15" xfId="0" applyFill="1" applyBorder="1" applyAlignment="1">
      <alignment horizontal="center"/>
    </xf>
    <xf numFmtId="0" fontId="19" fillId="0" borderId="0" xfId="0" quotePrefix="1" applyFont="1" applyAlignment="1">
      <alignment horizontal="center"/>
    </xf>
    <xf numFmtId="0" fontId="0" fillId="4" borderId="0" xfId="0" applyFill="1" applyAlignment="1">
      <alignment horizontal="center" vertical="center" wrapText="1"/>
    </xf>
    <xf numFmtId="177" fontId="0" fillId="0" borderId="22" xfId="1" applyNumberFormat="1" applyFont="1" applyFill="1" applyBorder="1"/>
    <xf numFmtId="9" fontId="0" fillId="0" borderId="9" xfId="1" applyFont="1" applyBorder="1"/>
    <xf numFmtId="0" fontId="22" fillId="4" borderId="0" xfId="0" applyFont="1" applyFill="1"/>
    <xf numFmtId="0" fontId="23" fillId="4" borderId="0" xfId="0" applyFont="1" applyFill="1"/>
    <xf numFmtId="182" fontId="9" fillId="0" borderId="0" xfId="1" applyNumberFormat="1" applyFont="1"/>
    <xf numFmtId="0" fontId="9" fillId="0" borderId="10" xfId="5" applyFont="1" applyBorder="1" applyAlignment="1">
      <alignment vertical="center" wrapText="1"/>
    </xf>
    <xf numFmtId="10" fontId="9" fillId="0" borderId="17" xfId="5" applyNumberFormat="1" applyFont="1" applyBorder="1" applyAlignment="1">
      <alignment horizontal="center"/>
    </xf>
    <xf numFmtId="0" fontId="5" fillId="4" borderId="3" xfId="0" applyFont="1" applyFill="1" applyBorder="1" applyAlignment="1">
      <alignment horizontal="center" vertical="center"/>
    </xf>
    <xf numFmtId="0" fontId="0" fillId="4" borderId="5" xfId="0" applyFill="1" applyBorder="1"/>
    <xf numFmtId="38" fontId="0" fillId="0" borderId="3" xfId="0" applyNumberFormat="1" applyBorder="1"/>
    <xf numFmtId="40" fontId="0" fillId="0" borderId="5" xfId="0" applyNumberFormat="1" applyBorder="1"/>
    <xf numFmtId="0" fontId="24" fillId="4" borderId="5" xfId="0" applyFont="1" applyFill="1" applyBorder="1"/>
    <xf numFmtId="0" fontId="24" fillId="4" borderId="3" xfId="0" applyFont="1" applyFill="1" applyBorder="1"/>
    <xf numFmtId="38" fontId="9" fillId="0" borderId="3" xfId="4" quotePrefix="1" applyFont="1" applyFill="1" applyBorder="1" applyAlignment="1">
      <alignment horizontal="center" vertical="center"/>
    </xf>
    <xf numFmtId="177" fontId="0" fillId="0" borderId="4" xfId="1" applyNumberFormat="1" applyFont="1" applyFill="1" applyBorder="1"/>
    <xf numFmtId="0" fontId="20" fillId="0" borderId="0" xfId="0" applyFont="1" applyAlignment="1">
      <alignment horizontal="center"/>
    </xf>
    <xf numFmtId="0" fontId="9" fillId="0" borderId="5" xfId="0" applyFont="1" applyBorder="1"/>
    <xf numFmtId="0" fontId="0" fillId="0" borderId="0" xfId="1" applyNumberFormat="1" applyFont="1" applyFill="1" applyBorder="1"/>
    <xf numFmtId="0" fontId="25" fillId="4" borderId="0" xfId="0" applyFont="1" applyFill="1"/>
    <xf numFmtId="0" fontId="26" fillId="4" borderId="0" xfId="0" quotePrefix="1" applyFont="1" applyFill="1" applyAlignment="1">
      <alignment horizontal="center"/>
    </xf>
    <xf numFmtId="0" fontId="26" fillId="4" borderId="0" xfId="0" applyFont="1" applyFill="1" applyAlignment="1">
      <alignment horizontal="center"/>
    </xf>
    <xf numFmtId="2" fontId="27" fillId="0" borderId="0" xfId="1" applyNumberFormat="1" applyFont="1" applyFill="1" applyBorder="1"/>
    <xf numFmtId="0" fontId="28" fillId="4" borderId="0" xfId="0" applyFont="1" applyFill="1"/>
    <xf numFmtId="183" fontId="0" fillId="0" borderId="0" xfId="0" applyNumberFormat="1"/>
    <xf numFmtId="2" fontId="0" fillId="0" borderId="0" xfId="0" applyNumberFormat="1"/>
    <xf numFmtId="0" fontId="19" fillId="0" borderId="0" xfId="0" applyFont="1"/>
    <xf numFmtId="0" fontId="30" fillId="0" borderId="0" xfId="0" applyFont="1"/>
    <xf numFmtId="0" fontId="31" fillId="0" borderId="0" xfId="0" applyFont="1"/>
    <xf numFmtId="9" fontId="0" fillId="0" borderId="9" xfId="0" applyNumberFormat="1" applyBorder="1"/>
    <xf numFmtId="2" fontId="0" fillId="0" borderId="4" xfId="0" applyNumberFormat="1" applyBorder="1"/>
    <xf numFmtId="38" fontId="0" fillId="0" borderId="14" xfId="7" applyNumberFormat="1" applyFont="1" applyBorder="1" applyAlignment="1"/>
    <xf numFmtId="38" fontId="0" fillId="0" borderId="20" xfId="7" applyNumberFormat="1" applyFont="1" applyBorder="1" applyAlignment="1"/>
    <xf numFmtId="2" fontId="0" fillId="0" borderId="5" xfId="0" applyNumberFormat="1" applyBorder="1"/>
    <xf numFmtId="38" fontId="0" fillId="0" borderId="4" xfId="7" applyNumberFormat="1" applyFont="1" applyBorder="1" applyAlignment="1"/>
    <xf numFmtId="38" fontId="0" fillId="0" borderId="0" xfId="7" applyNumberFormat="1" applyFont="1" applyBorder="1" applyAlignment="1"/>
    <xf numFmtId="38" fontId="0" fillId="0" borderId="5" xfId="7" applyNumberFormat="1" applyFont="1" applyBorder="1" applyAlignment="1"/>
    <xf numFmtId="177" fontId="0" fillId="0" borderId="0" xfId="0" applyNumberFormat="1"/>
    <xf numFmtId="38" fontId="0" fillId="7" borderId="0" xfId="0" applyNumberFormat="1" applyFill="1"/>
    <xf numFmtId="38" fontId="0" fillId="8" borderId="0" xfId="0" applyNumberFormat="1" applyFill="1"/>
    <xf numFmtId="38" fontId="0" fillId="9" borderId="0" xfId="0" applyNumberFormat="1" applyFill="1"/>
    <xf numFmtId="38" fontId="0" fillId="7" borderId="0" xfId="4" applyFont="1" applyFill="1" applyBorder="1" applyAlignment="1"/>
    <xf numFmtId="38" fontId="0" fillId="8" borderId="0" xfId="4" applyFont="1" applyFill="1" applyBorder="1" applyAlignment="1"/>
    <xf numFmtId="38" fontId="7" fillId="9" borderId="0" xfId="4" applyFont="1" applyFill="1" applyBorder="1" applyAlignment="1"/>
    <xf numFmtId="38" fontId="0" fillId="3" borderId="0" xfId="4" applyFont="1" applyFill="1" applyBorder="1" applyAlignment="1"/>
    <xf numFmtId="38" fontId="0" fillId="10" borderId="0" xfId="4" applyFont="1" applyFill="1" applyBorder="1" applyAlignment="1"/>
    <xf numFmtId="0" fontId="32" fillId="0" borderId="0" xfId="0" applyFont="1"/>
    <xf numFmtId="38" fontId="0" fillId="0" borderId="25" xfId="4" applyFont="1" applyBorder="1" applyAlignment="1"/>
    <xf numFmtId="0" fontId="33" fillId="0" borderId="0" xfId="0" applyFont="1"/>
    <xf numFmtId="40" fontId="17" fillId="0" borderId="3" xfId="4" applyNumberFormat="1" applyFont="1" applyBorder="1" applyAlignment="1"/>
    <xf numFmtId="38" fontId="18" fillId="0" borderId="0" xfId="7" applyNumberFormat="1" applyFont="1" applyAlignment="1"/>
    <xf numFmtId="40" fontId="0" fillId="0" borderId="0" xfId="7" applyFont="1" applyAlignment="1"/>
    <xf numFmtId="40" fontId="0" fillId="0" borderId="0" xfId="7" applyFont="1" applyFill="1" applyBorder="1" applyAlignment="1"/>
    <xf numFmtId="0" fontId="18" fillId="0" borderId="0" xfId="0" quotePrefix="1" applyFont="1"/>
    <xf numFmtId="10" fontId="0" fillId="0" borderId="0" xfId="1" applyNumberFormat="1" applyFont="1" applyAlignment="1"/>
    <xf numFmtId="0" fontId="0" fillId="4" borderId="3" xfId="0" applyFill="1" applyBorder="1" applyAlignment="1">
      <alignment horizontal="left" vertical="center"/>
    </xf>
    <xf numFmtId="40" fontId="0" fillId="0" borderId="3" xfId="7" applyFont="1" applyBorder="1" applyAlignment="1"/>
    <xf numFmtId="40" fontId="0" fillId="0" borderId="3" xfId="0" applyNumberFormat="1" applyBorder="1"/>
    <xf numFmtId="10" fontId="0" fillId="0" borderId="0" xfId="1" applyNumberFormat="1" applyFont="1" applyFill="1" applyBorder="1"/>
    <xf numFmtId="38" fontId="9" fillId="0" borderId="0" xfId="4" applyFont="1" applyFill="1" applyBorder="1" applyAlignment="1">
      <alignment vertical="center"/>
    </xf>
    <xf numFmtId="38" fontId="9" fillId="0" borderId="0" xfId="0" applyNumberFormat="1" applyFont="1" applyAlignment="1">
      <alignment vertical="center"/>
    </xf>
    <xf numFmtId="0" fontId="29" fillId="4" borderId="0" xfId="0" applyFont="1" applyFill="1" applyAlignment="1">
      <alignment horizontal="left" vertical="center"/>
    </xf>
    <xf numFmtId="0" fontId="29" fillId="4" borderId="4" xfId="0" applyFont="1" applyFill="1" applyBorder="1" applyAlignment="1">
      <alignment horizontal="left" vertical="center"/>
    </xf>
    <xf numFmtId="0" fontId="0" fillId="4" borderId="5" xfId="0" applyFill="1" applyBorder="1" applyAlignment="1">
      <alignment horizontal="left" vertical="center"/>
    </xf>
    <xf numFmtId="40" fontId="0" fillId="4" borderId="0" xfId="0" applyNumberFormat="1" applyFill="1"/>
    <xf numFmtId="38" fontId="0" fillId="0" borderId="0" xfId="7" applyNumberFormat="1" applyFont="1" applyAlignment="1"/>
    <xf numFmtId="38" fontId="0" fillId="0" borderId="0" xfId="0" applyNumberFormat="1" applyAlignment="1">
      <alignment vertical="center"/>
    </xf>
    <xf numFmtId="10" fontId="0" fillId="0" borderId="0" xfId="0" applyNumberFormat="1"/>
    <xf numFmtId="38" fontId="0" fillId="6" borderId="0" xfId="4" applyFont="1" applyFill="1" applyBorder="1" applyAlignment="1"/>
    <xf numFmtId="0" fontId="7" fillId="4" borderId="0" xfId="0" applyFont="1" applyFill="1" applyAlignment="1">
      <alignment horizontal="left"/>
    </xf>
    <xf numFmtId="0" fontId="20" fillId="0" borderId="4" xfId="0" applyFont="1" applyBorder="1" applyAlignment="1">
      <alignment horizontal="center"/>
    </xf>
    <xf numFmtId="40" fontId="0" fillId="0" borderId="9" xfId="7" applyFont="1" applyBorder="1" applyAlignment="1"/>
    <xf numFmtId="177" fontId="0" fillId="0" borderId="9" xfId="1" applyNumberFormat="1" applyFont="1" applyBorder="1"/>
    <xf numFmtId="184" fontId="0" fillId="0" borderId="9" xfId="0" applyNumberFormat="1" applyBorder="1"/>
    <xf numFmtId="40" fontId="0" fillId="0" borderId="13" xfId="0" applyNumberFormat="1" applyBorder="1"/>
    <xf numFmtId="38" fontId="0" fillId="0" borderId="13" xfId="0" applyNumberFormat="1" applyBorder="1"/>
    <xf numFmtId="9" fontId="0" fillId="0" borderId="13" xfId="1" applyFont="1" applyFill="1" applyBorder="1"/>
    <xf numFmtId="40" fontId="9" fillId="0" borderId="17" xfId="7" applyFont="1" applyBorder="1" applyAlignment="1"/>
    <xf numFmtId="40" fontId="9" fillId="0" borderId="17" xfId="7" applyFont="1" applyBorder="1" applyAlignment="1">
      <alignment vertical="top"/>
    </xf>
    <xf numFmtId="40" fontId="9" fillId="0" borderId="0" xfId="7" applyFont="1" applyAlignment="1"/>
    <xf numFmtId="40" fontId="9" fillId="0" borderId="10" xfId="7" applyFont="1" applyBorder="1" applyAlignment="1"/>
    <xf numFmtId="40" fontId="9" fillId="0" borderId="10" xfId="7" applyFont="1" applyBorder="1" applyAlignment="1">
      <alignment vertical="top"/>
    </xf>
    <xf numFmtId="40" fontId="11" fillId="0" borderId="17" xfId="7" applyFont="1" applyBorder="1" applyAlignment="1"/>
    <xf numFmtId="40" fontId="7" fillId="0" borderId="6" xfId="7" applyFont="1" applyBorder="1" applyAlignment="1"/>
    <xf numFmtId="40" fontId="7" fillId="0" borderId="1" xfId="7" applyFont="1" applyBorder="1" applyAlignment="1"/>
    <xf numFmtId="40" fontId="7" fillId="0" borderId="6" xfId="7" applyFont="1" applyFill="1" applyBorder="1" applyAlignment="1"/>
    <xf numFmtId="0" fontId="34" fillId="0" borderId="0" xfId="0" applyFont="1" applyAlignment="1">
      <alignment horizontal="center"/>
    </xf>
    <xf numFmtId="0" fontId="0" fillId="0" borderId="3" xfId="0" applyBorder="1"/>
    <xf numFmtId="10" fontId="0" fillId="0" borderId="0" xfId="1" applyNumberFormat="1" applyFont="1"/>
    <xf numFmtId="38" fontId="0" fillId="0" borderId="3" xfId="7" applyNumberFormat="1" applyFont="1" applyBorder="1" applyAlignment="1"/>
    <xf numFmtId="38" fontId="11" fillId="0" borderId="3" xfId="7" applyNumberFormat="1" applyFont="1" applyBorder="1" applyAlignment="1"/>
    <xf numFmtId="0" fontId="0" fillId="0" borderId="0" xfId="0" applyAlignment="1">
      <alignment horizontal="center" vertical="center" wrapText="1"/>
    </xf>
    <xf numFmtId="0" fontId="0" fillId="4" borderId="3" xfId="0" applyFill="1" applyBorder="1" applyAlignment="1">
      <alignment vertical="center" wrapText="1"/>
    </xf>
    <xf numFmtId="0" fontId="5" fillId="4"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7" fillId="0" borderId="3" xfId="0" applyFont="1" applyBorder="1" applyAlignment="1">
      <alignment horizontal="center" vertical="center" wrapText="1"/>
    </xf>
    <xf numFmtId="0" fontId="7" fillId="4" borderId="0" xfId="0" applyFont="1" applyFill="1" applyAlignment="1">
      <alignment horizontal="center"/>
    </xf>
    <xf numFmtId="38" fontId="7" fillId="0" borderId="0" xfId="0" applyNumberFormat="1" applyFont="1"/>
    <xf numFmtId="38" fontId="5" fillId="5" borderId="0" xfId="7" applyNumberFormat="1" applyFont="1" applyFill="1" applyAlignment="1"/>
    <xf numFmtId="38" fontId="7" fillId="7" borderId="0" xfId="0" applyNumberFormat="1" applyFont="1" applyFill="1"/>
    <xf numFmtId="185" fontId="7" fillId="0" borderId="0" xfId="0" applyNumberFormat="1" applyFont="1" applyAlignment="1">
      <alignment horizontal="center" vertical="center"/>
    </xf>
    <xf numFmtId="38" fontId="5" fillId="0" borderId="3" xfId="0" applyNumberFormat="1" applyFont="1" applyBorder="1"/>
    <xf numFmtId="38" fontId="7" fillId="0" borderId="3" xfId="0" applyNumberFormat="1" applyFont="1" applyBorder="1"/>
    <xf numFmtId="38" fontId="7" fillId="0" borderId="3" xfId="0" applyNumberFormat="1" applyFont="1" applyBorder="1" applyAlignment="1">
      <alignment horizontal="center" vertical="center"/>
    </xf>
    <xf numFmtId="38" fontId="7" fillId="8" borderId="0" xfId="0" applyNumberFormat="1" applyFont="1" applyFill="1"/>
    <xf numFmtId="38" fontId="7" fillId="9" borderId="0" xfId="0" applyNumberFormat="1" applyFont="1" applyFill="1"/>
    <xf numFmtId="40" fontId="5" fillId="5" borderId="0" xfId="7" applyFont="1" applyFill="1" applyAlignment="1"/>
    <xf numFmtId="177" fontId="5" fillId="5" borderId="0" xfId="1" applyNumberFormat="1" applyFont="1" applyFill="1" applyAlignment="1"/>
    <xf numFmtId="185" fontId="7" fillId="0" borderId="0" xfId="4" applyNumberFormat="1" applyFont="1" applyBorder="1" applyAlignment="1">
      <alignment horizontal="center" vertical="center"/>
    </xf>
    <xf numFmtId="38" fontId="0" fillId="9" borderId="0" xfId="4" applyFont="1" applyFill="1" applyBorder="1" applyAlignment="1"/>
    <xf numFmtId="38" fontId="7" fillId="0" borderId="3" xfId="4" applyFont="1" applyBorder="1" applyAlignment="1"/>
    <xf numFmtId="38" fontId="7" fillId="0" borderId="3" xfId="4" applyFont="1" applyBorder="1" applyAlignment="1">
      <alignment horizontal="center" vertical="center"/>
    </xf>
    <xf numFmtId="38" fontId="5" fillId="0" borderId="0" xfId="7" applyNumberFormat="1" applyFont="1" applyFill="1" applyAlignment="1">
      <alignment horizontal="right"/>
    </xf>
    <xf numFmtId="0" fontId="5" fillId="0" borderId="0" xfId="0" applyFont="1" applyAlignment="1">
      <alignment horizontal="right"/>
    </xf>
    <xf numFmtId="38" fontId="18" fillId="0" borderId="0" xfId="7" applyNumberFormat="1" applyFont="1" applyFill="1" applyAlignment="1"/>
    <xf numFmtId="0" fontId="36" fillId="4" borderId="0" xfId="8" applyFont="1" applyFill="1"/>
    <xf numFmtId="38" fontId="0" fillId="0" borderId="5" xfId="4" quotePrefix="1" applyFont="1" applyFill="1" applyBorder="1" applyAlignment="1">
      <alignment horizontal="center"/>
    </xf>
    <xf numFmtId="38" fontId="0" fillId="0" borderId="0" xfId="4" quotePrefix="1" applyFont="1" applyFill="1" applyBorder="1" applyAlignment="1">
      <alignment horizontal="center"/>
    </xf>
    <xf numFmtId="0" fontId="20" fillId="0" borderId="0" xfId="0" quotePrefix="1" applyFont="1" applyAlignment="1">
      <alignment horizontal="left" vertical="center"/>
    </xf>
    <xf numFmtId="0" fontId="18" fillId="0" borderId="0" xfId="0" applyFont="1" applyAlignment="1">
      <alignment horizontal="left" vertical="center"/>
    </xf>
    <xf numFmtId="0" fontId="25" fillId="0" borderId="26" xfId="1" applyNumberFormat="1" applyFont="1" applyFill="1" applyBorder="1"/>
    <xf numFmtId="9" fontId="0" fillId="0" borderId="1" xfId="1" applyFont="1" applyFill="1" applyBorder="1"/>
    <xf numFmtId="0" fontId="25" fillId="0" borderId="17" xfId="1" applyNumberFormat="1" applyFont="1" applyFill="1" applyBorder="1"/>
    <xf numFmtId="9" fontId="7" fillId="0" borderId="17" xfId="0" applyNumberFormat="1" applyFont="1" applyBorder="1"/>
    <xf numFmtId="0" fontId="41" fillId="0" borderId="0" xfId="0" applyFont="1"/>
    <xf numFmtId="177" fontId="25" fillId="0" borderId="26" xfId="1" applyNumberFormat="1" applyFont="1" applyFill="1" applyBorder="1"/>
    <xf numFmtId="38" fontId="5" fillId="0" borderId="3" xfId="4" applyFont="1" applyFill="1" applyBorder="1" applyAlignment="1"/>
    <xf numFmtId="38" fontId="5" fillId="0" borderId="4" xfId="4" applyFont="1" applyFill="1" applyBorder="1" applyAlignment="1"/>
    <xf numFmtId="0" fontId="5" fillId="0" borderId="0" xfId="0" applyFont="1" applyAlignment="1">
      <alignment horizontal="center" vertical="center"/>
    </xf>
    <xf numFmtId="0" fontId="43" fillId="8" borderId="27" xfId="0" applyFont="1" applyFill="1" applyBorder="1" applyAlignment="1">
      <alignment horizontal="center" vertical="center"/>
    </xf>
    <xf numFmtId="38" fontId="0" fillId="8" borderId="24" xfId="4" applyFont="1" applyFill="1" applyBorder="1" applyAlignment="1">
      <alignment horizontal="center" vertical="center"/>
    </xf>
    <xf numFmtId="0" fontId="0" fillId="8" borderId="24" xfId="0" applyFill="1" applyBorder="1" applyAlignment="1">
      <alignment horizontal="center" vertical="center"/>
    </xf>
    <xf numFmtId="38" fontId="0" fillId="8" borderId="28" xfId="4" applyFont="1" applyFill="1" applyBorder="1" applyAlignment="1">
      <alignment horizontal="center" vertical="center"/>
    </xf>
    <xf numFmtId="0" fontId="0" fillId="4" borderId="25" xfId="0" applyFill="1" applyBorder="1"/>
    <xf numFmtId="38" fontId="0" fillId="0" borderId="29" xfId="4" applyFont="1" applyBorder="1" applyAlignment="1"/>
    <xf numFmtId="0" fontId="5" fillId="4" borderId="25" xfId="0" applyFont="1" applyFill="1" applyBorder="1" applyAlignment="1">
      <alignment horizontal="center" vertical="center"/>
    </xf>
    <xf numFmtId="0" fontId="0" fillId="4" borderId="30" xfId="0" applyFill="1" applyBorder="1"/>
    <xf numFmtId="38" fontId="0" fillId="0" borderId="31" xfId="4" applyFont="1" applyBorder="1" applyAlignment="1"/>
    <xf numFmtId="0" fontId="0" fillId="4" borderId="32" xfId="0" applyFill="1" applyBorder="1"/>
    <xf numFmtId="38" fontId="0" fillId="0" borderId="33" xfId="4" applyFont="1" applyBorder="1" applyAlignment="1"/>
    <xf numFmtId="0" fontId="5" fillId="4" borderId="34" xfId="0" applyFont="1" applyFill="1" applyBorder="1" applyAlignment="1">
      <alignment horizontal="center" vertical="center"/>
    </xf>
    <xf numFmtId="38" fontId="0" fillId="0" borderId="22" xfId="4" applyFont="1" applyFill="1" applyBorder="1" applyAlignment="1"/>
    <xf numFmtId="38" fontId="17" fillId="0" borderId="35" xfId="4" applyFont="1" applyFill="1" applyBorder="1" applyAlignment="1"/>
    <xf numFmtId="38" fontId="5" fillId="0" borderId="29" xfId="4" applyFont="1" applyFill="1" applyBorder="1" applyAlignment="1"/>
    <xf numFmtId="0" fontId="44" fillId="4" borderId="3" xfId="0" applyFont="1" applyFill="1" applyBorder="1" applyAlignment="1">
      <alignment horizontal="center" vertical="center"/>
    </xf>
    <xf numFmtId="38" fontId="0" fillId="0" borderId="0" xfId="4" applyFont="1" applyFill="1" applyBorder="1" applyAlignment="1">
      <alignment vertical="center"/>
    </xf>
    <xf numFmtId="38" fontId="0" fillId="0" borderId="0" xfId="4" applyFont="1" applyFill="1" applyAlignment="1">
      <alignment vertical="center"/>
    </xf>
    <xf numFmtId="0" fontId="0" fillId="0" borderId="0" xfId="0" applyAlignment="1">
      <alignment vertical="center"/>
    </xf>
    <xf numFmtId="38" fontId="9" fillId="8" borderId="24" xfId="4" applyFont="1" applyFill="1" applyBorder="1" applyAlignment="1">
      <alignment horizontal="center" vertical="center"/>
    </xf>
    <xf numFmtId="38" fontId="9" fillId="8" borderId="28" xfId="4" applyFont="1" applyFill="1" applyBorder="1" applyAlignment="1">
      <alignment horizontal="center" vertical="center"/>
    </xf>
    <xf numFmtId="38" fontId="9" fillId="8" borderId="1" xfId="4" applyFont="1" applyFill="1" applyBorder="1" applyAlignment="1">
      <alignment horizontal="center" vertical="center"/>
    </xf>
    <xf numFmtId="38" fontId="9" fillId="8" borderId="36" xfId="4" applyFont="1" applyFill="1" applyBorder="1" applyAlignment="1">
      <alignment horizontal="center" vertical="center"/>
    </xf>
    <xf numFmtId="38" fontId="9" fillId="0" borderId="33" xfId="4" applyFont="1" applyFill="1" applyBorder="1" applyAlignment="1"/>
    <xf numFmtId="38" fontId="9" fillId="0" borderId="29" xfId="4" quotePrefix="1" applyFont="1" applyFill="1" applyBorder="1" applyAlignment="1">
      <alignment horizontal="center" vertical="center"/>
    </xf>
    <xf numFmtId="38" fontId="9" fillId="0" borderId="29" xfId="4" applyFont="1" applyFill="1" applyBorder="1" applyAlignment="1"/>
    <xf numFmtId="38" fontId="9" fillId="0" borderId="33" xfId="4" applyFont="1" applyFill="1" applyBorder="1" applyAlignment="1">
      <alignment vertical="center"/>
    </xf>
    <xf numFmtId="38" fontId="9" fillId="0" borderId="31" xfId="4" applyFont="1" applyFill="1" applyBorder="1" applyAlignment="1"/>
    <xf numFmtId="0" fontId="24" fillId="4" borderId="32" xfId="0" applyFont="1" applyFill="1" applyBorder="1"/>
    <xf numFmtId="38" fontId="9" fillId="0" borderId="5" xfId="4" quotePrefix="1" applyFont="1" applyFill="1" applyBorder="1" applyAlignment="1">
      <alignment horizontal="center" vertical="center"/>
    </xf>
    <xf numFmtId="38" fontId="9" fillId="0" borderId="37" xfId="4" quotePrefix="1" applyFont="1" applyFill="1" applyBorder="1" applyAlignment="1">
      <alignment horizontal="center" vertical="center"/>
    </xf>
    <xf numFmtId="0" fontId="44" fillId="4" borderId="25" xfId="0" applyFont="1" applyFill="1" applyBorder="1" applyAlignment="1">
      <alignment horizontal="center" vertical="center"/>
    </xf>
    <xf numFmtId="38" fontId="9" fillId="0" borderId="2" xfId="4" applyFont="1" applyFill="1" applyBorder="1" applyAlignment="1"/>
    <xf numFmtId="38" fontId="17" fillId="0" borderId="38" xfId="4" applyFont="1" applyFill="1" applyBorder="1" applyAlignment="1"/>
    <xf numFmtId="38" fontId="9" fillId="0" borderId="0" xfId="4" quotePrefix="1" applyFont="1" applyFill="1" applyBorder="1" applyAlignment="1">
      <alignment vertical="center"/>
    </xf>
    <xf numFmtId="0" fontId="20" fillId="0" borderId="0" xfId="0" quotePrefix="1" applyFont="1"/>
    <xf numFmtId="38" fontId="7" fillId="0" borderId="0" xfId="4" quotePrefix="1" applyFont="1" applyBorder="1" applyAlignment="1">
      <alignment horizontal="center" vertical="center"/>
    </xf>
    <xf numFmtId="38" fontId="7" fillId="0" borderId="0" xfId="0" applyNumberFormat="1" applyFont="1" applyAlignment="1">
      <alignment horizontal="center" vertical="center"/>
    </xf>
    <xf numFmtId="38" fontId="0" fillId="0" borderId="0" xfId="4" quotePrefix="1" applyFont="1" applyBorder="1" applyAlignment="1">
      <alignment horizontal="center" vertical="center"/>
    </xf>
    <xf numFmtId="38" fontId="0" fillId="0" borderId="0" xfId="4" applyFont="1" applyBorder="1" applyAlignment="1">
      <alignment horizontal="center" vertical="center"/>
    </xf>
    <xf numFmtId="38" fontId="0" fillId="0" borderId="0" xfId="4" applyFont="1" applyFill="1" applyBorder="1" applyAlignment="1">
      <alignment horizontal="center" vertical="center"/>
    </xf>
    <xf numFmtId="38" fontId="5" fillId="0" borderId="5" xfId="4" applyFont="1" applyFill="1" applyBorder="1" applyAlignment="1"/>
    <xf numFmtId="38" fontId="11" fillId="0" borderId="38" xfId="4" applyFont="1" applyFill="1" applyBorder="1" applyAlignment="1"/>
    <xf numFmtId="177" fontId="5" fillId="2" borderId="7" xfId="1" applyNumberFormat="1" applyFont="1" applyFill="1" applyBorder="1" applyProtection="1">
      <protection locked="0"/>
    </xf>
    <xf numFmtId="0" fontId="5" fillId="2" borderId="7" xfId="1" applyNumberFormat="1" applyFont="1" applyFill="1" applyBorder="1" applyProtection="1">
      <protection locked="0"/>
    </xf>
    <xf numFmtId="40" fontId="5" fillId="2" borderId="7" xfId="7" applyFont="1" applyFill="1" applyBorder="1" applyAlignment="1" applyProtection="1">
      <protection locked="0"/>
    </xf>
    <xf numFmtId="177" fontId="5" fillId="2" borderId="7" xfId="1" applyNumberFormat="1" applyFont="1" applyFill="1" applyBorder="1" applyAlignment="1" applyProtection="1">
      <protection locked="0"/>
    </xf>
    <xf numFmtId="10" fontId="5" fillId="2" borderId="7" xfId="1" applyNumberFormat="1" applyFont="1" applyFill="1" applyBorder="1" applyAlignment="1" applyProtection="1">
      <protection locked="0"/>
    </xf>
    <xf numFmtId="184" fontId="5" fillId="2" borderId="7" xfId="0" applyNumberFormat="1" applyFont="1" applyFill="1" applyBorder="1" applyProtection="1">
      <protection locked="0"/>
    </xf>
    <xf numFmtId="40" fontId="5" fillId="2" borderId="7" xfId="4" applyNumberFormat="1" applyFont="1" applyFill="1" applyBorder="1" applyAlignment="1" applyProtection="1">
      <protection locked="0"/>
    </xf>
    <xf numFmtId="38" fontId="5" fillId="2" borderId="7" xfId="7" applyNumberFormat="1" applyFont="1" applyFill="1" applyBorder="1" applyAlignment="1" applyProtection="1">
      <protection locked="0"/>
    </xf>
    <xf numFmtId="9" fontId="0" fillId="2" borderId="13" xfId="0" applyNumberFormat="1" applyFill="1" applyBorder="1" applyProtection="1">
      <protection locked="0"/>
    </xf>
    <xf numFmtId="9" fontId="0" fillId="2" borderId="16" xfId="0" applyNumberFormat="1" applyFill="1" applyBorder="1" applyProtection="1">
      <protection locked="0"/>
    </xf>
    <xf numFmtId="40" fontId="0" fillId="2" borderId="13" xfId="7" applyFont="1" applyFill="1" applyBorder="1" applyAlignment="1" applyProtection="1">
      <protection locked="0"/>
    </xf>
    <xf numFmtId="40" fontId="0" fillId="2" borderId="16" xfId="7" applyFont="1" applyFill="1" applyBorder="1" applyAlignment="1" applyProtection="1">
      <protection locked="0"/>
    </xf>
    <xf numFmtId="10" fontId="0" fillId="2" borderId="13" xfId="1" applyNumberFormat="1" applyFont="1" applyFill="1" applyBorder="1" applyAlignment="1" applyProtection="1">
      <protection locked="0"/>
    </xf>
    <xf numFmtId="10" fontId="0" fillId="2" borderId="16" xfId="1" applyNumberFormat="1" applyFont="1" applyFill="1" applyBorder="1" applyAlignment="1" applyProtection="1">
      <protection locked="0"/>
    </xf>
    <xf numFmtId="184" fontId="0" fillId="2" borderId="13" xfId="0" applyNumberFormat="1" applyFill="1" applyBorder="1" applyProtection="1">
      <protection locked="0"/>
    </xf>
    <xf numFmtId="184" fontId="0" fillId="2" borderId="16" xfId="0" applyNumberFormat="1" applyFill="1" applyBorder="1" applyProtection="1">
      <protection locked="0"/>
    </xf>
    <xf numFmtId="40" fontId="0" fillId="2" borderId="13" xfId="0" applyNumberFormat="1" applyFill="1" applyBorder="1" applyProtection="1">
      <protection locked="0"/>
    </xf>
    <xf numFmtId="40" fontId="0" fillId="2" borderId="16" xfId="0" applyNumberFormat="1" applyFill="1" applyBorder="1" applyProtection="1">
      <protection locked="0"/>
    </xf>
    <xf numFmtId="38" fontId="0" fillId="2" borderId="13" xfId="7" applyNumberFormat="1" applyFont="1" applyFill="1" applyBorder="1" applyAlignment="1" applyProtection="1">
      <protection locked="0"/>
    </xf>
    <xf numFmtId="9" fontId="0" fillId="2" borderId="13" xfId="1" applyFont="1" applyFill="1" applyBorder="1" applyProtection="1">
      <protection locked="0"/>
    </xf>
    <xf numFmtId="10" fontId="0" fillId="2" borderId="13" xfId="1" applyNumberFormat="1" applyFont="1" applyFill="1" applyBorder="1" applyProtection="1">
      <protection locked="0"/>
    </xf>
    <xf numFmtId="10" fontId="0" fillId="2" borderId="16" xfId="1" applyNumberFormat="1" applyFont="1" applyFill="1" applyBorder="1" applyProtection="1">
      <protection locked="0"/>
    </xf>
    <xf numFmtId="9" fontId="0" fillId="2" borderId="16" xfId="1" applyFont="1" applyFill="1" applyBorder="1" applyProtection="1">
      <protection locked="0"/>
    </xf>
    <xf numFmtId="40" fontId="9" fillId="2" borderId="17" xfId="7" applyFont="1" applyFill="1" applyBorder="1" applyAlignment="1" applyProtection="1">
      <alignment vertical="top"/>
      <protection locked="0"/>
    </xf>
    <xf numFmtId="40" fontId="9" fillId="2" borderId="17" xfId="7" applyFont="1" applyFill="1" applyBorder="1" applyAlignment="1" applyProtection="1">
      <protection locked="0"/>
    </xf>
    <xf numFmtId="40" fontId="9" fillId="2" borderId="10" xfId="7" applyFont="1" applyFill="1" applyBorder="1" applyAlignment="1" applyProtection="1">
      <alignment vertical="top"/>
      <protection locked="0"/>
    </xf>
    <xf numFmtId="38" fontId="0" fillId="2" borderId="7" xfId="4" applyFont="1" applyFill="1" applyBorder="1" applyAlignment="1" applyProtection="1">
      <protection locked="0"/>
    </xf>
    <xf numFmtId="38" fontId="0" fillId="2" borderId="7" xfId="0" applyNumberFormat="1" applyFill="1" applyBorder="1" applyProtection="1">
      <protection locked="0"/>
    </xf>
    <xf numFmtId="0" fontId="0" fillId="2" borderId="7" xfId="0" applyFill="1" applyBorder="1" applyProtection="1">
      <protection locked="0"/>
    </xf>
    <xf numFmtId="38" fontId="0" fillId="2" borderId="6" xfId="4" applyFont="1" applyFill="1" applyBorder="1" applyAlignment="1" applyProtection="1">
      <protection locked="0"/>
    </xf>
    <xf numFmtId="38" fontId="0" fillId="2" borderId="21" xfId="4" applyFont="1" applyFill="1" applyBorder="1" applyAlignment="1" applyProtection="1">
      <protection locked="0"/>
    </xf>
    <xf numFmtId="9" fontId="0" fillId="2" borderId="7" xfId="1" applyFont="1" applyFill="1" applyBorder="1" applyProtection="1">
      <protection locked="0"/>
    </xf>
    <xf numFmtId="38" fontId="0" fillId="2" borderId="8" xfId="4" applyFont="1" applyFill="1" applyBorder="1" applyAlignment="1" applyProtection="1">
      <protection locked="0"/>
    </xf>
    <xf numFmtId="38" fontId="0" fillId="2" borderId="23" xfId="4" applyFont="1" applyFill="1" applyBorder="1" applyAlignment="1" applyProtection="1">
      <protection locked="0"/>
    </xf>
    <xf numFmtId="10" fontId="0" fillId="2" borderId="7" xfId="1" applyNumberFormat="1" applyFont="1" applyFill="1" applyBorder="1" applyProtection="1">
      <protection locked="0"/>
    </xf>
    <xf numFmtId="0" fontId="38" fillId="8" borderId="0" xfId="0" applyFont="1" applyFill="1" applyAlignment="1">
      <alignment horizontal="left" vertical="center" wrapText="1"/>
    </xf>
    <xf numFmtId="0" fontId="5" fillId="6" borderId="0" xfId="0" applyFont="1" applyFill="1" applyAlignment="1">
      <alignment horizontal="left" vertical="center"/>
    </xf>
    <xf numFmtId="0" fontId="9" fillId="4" borderId="4" xfId="0" applyFont="1" applyFill="1" applyBorder="1" applyAlignment="1">
      <alignment horizontal="center" vertical="center"/>
    </xf>
    <xf numFmtId="0" fontId="9" fillId="4" borderId="5" xfId="0" applyFont="1" applyFill="1" applyBorder="1" applyAlignment="1">
      <alignment horizontal="center" vertical="center"/>
    </xf>
    <xf numFmtId="0" fontId="0" fillId="4" borderId="9" xfId="0" applyFill="1" applyBorder="1" applyAlignment="1">
      <alignment horizontal="center" vertical="center"/>
    </xf>
    <xf numFmtId="0" fontId="0" fillId="4" borderId="16" xfId="0" applyFill="1" applyBorder="1" applyAlignment="1">
      <alignment horizontal="center" vertical="center"/>
    </xf>
    <xf numFmtId="0" fontId="0" fillId="4" borderId="14" xfId="0" applyFill="1" applyBorder="1" applyAlignment="1">
      <alignment horizontal="center"/>
    </xf>
    <xf numFmtId="0" fontId="0" fillId="4" borderId="4" xfId="0" applyFill="1" applyBorder="1" applyAlignment="1">
      <alignment horizontal="center"/>
    </xf>
    <xf numFmtId="0" fontId="0" fillId="4" borderId="12" xfId="0" applyFill="1" applyBorder="1" applyAlignment="1">
      <alignment horizontal="center"/>
    </xf>
    <xf numFmtId="0" fontId="0" fillId="4" borderId="0" xfId="0" applyFill="1" applyAlignment="1">
      <alignment horizontal="center"/>
    </xf>
    <xf numFmtId="0" fontId="0" fillId="4" borderId="20" xfId="0" applyFill="1" applyBorder="1" applyAlignment="1">
      <alignment horizontal="center"/>
    </xf>
    <xf numFmtId="0" fontId="0" fillId="4" borderId="15" xfId="0" applyFill="1" applyBorder="1" applyAlignment="1">
      <alignment horizontal="center"/>
    </xf>
    <xf numFmtId="40" fontId="0" fillId="4" borderId="9" xfId="7" applyFont="1" applyFill="1" applyBorder="1" applyAlignment="1">
      <alignment horizontal="center" vertical="center"/>
    </xf>
    <xf numFmtId="40" fontId="0" fillId="4" borderId="16" xfId="7" applyFont="1" applyFill="1" applyBorder="1" applyAlignment="1">
      <alignment horizontal="center" vertical="center"/>
    </xf>
    <xf numFmtId="0" fontId="9" fillId="8" borderId="0" xfId="5" applyFont="1" applyFill="1" applyAlignment="1">
      <alignment vertical="top" wrapText="1"/>
    </xf>
    <xf numFmtId="0" fontId="9" fillId="4" borderId="9" xfId="5" applyFont="1" applyFill="1" applyBorder="1" applyAlignment="1">
      <alignment horizontal="center" vertical="center" wrapText="1"/>
    </xf>
    <xf numFmtId="0" fontId="9" fillId="4" borderId="13" xfId="5" applyFont="1" applyFill="1" applyBorder="1" applyAlignment="1">
      <alignment horizontal="center" vertical="center" wrapText="1"/>
    </xf>
    <xf numFmtId="0" fontId="9" fillId="4" borderId="16" xfId="5" applyFont="1" applyFill="1" applyBorder="1" applyAlignment="1">
      <alignment horizontal="center" vertical="center" wrapText="1"/>
    </xf>
    <xf numFmtId="0" fontId="14" fillId="4" borderId="10" xfId="5" applyFont="1" applyFill="1" applyBorder="1" applyAlignment="1">
      <alignment horizontal="center"/>
    </xf>
    <xf numFmtId="0" fontId="14" fillId="4" borderId="3" xfId="5" applyFont="1" applyFill="1" applyBorder="1" applyAlignment="1">
      <alignment horizontal="center"/>
    </xf>
    <xf numFmtId="0" fontId="14" fillId="4" borderId="11" xfId="5" applyFont="1" applyFill="1" applyBorder="1" applyAlignment="1">
      <alignment horizontal="center"/>
    </xf>
    <xf numFmtId="0" fontId="9" fillId="4" borderId="12" xfId="5" applyFont="1" applyFill="1" applyBorder="1" applyAlignment="1">
      <alignment horizontal="center" vertical="center" wrapText="1"/>
    </xf>
    <xf numFmtId="0" fontId="9" fillId="4" borderId="15" xfId="5" applyFont="1" applyFill="1" applyBorder="1" applyAlignment="1">
      <alignment horizontal="center" vertical="center" wrapText="1"/>
    </xf>
    <xf numFmtId="0" fontId="9" fillId="4" borderId="18" xfId="5" applyFont="1" applyFill="1" applyBorder="1" applyAlignment="1">
      <alignment horizontal="center" vertical="center" wrapText="1"/>
    </xf>
    <xf numFmtId="0" fontId="9" fillId="4" borderId="10" xfId="5" applyFont="1" applyFill="1" applyBorder="1" applyAlignment="1">
      <alignment horizontal="center"/>
    </xf>
    <xf numFmtId="0" fontId="9" fillId="4" borderId="11" xfId="5" applyFont="1" applyFill="1" applyBorder="1" applyAlignment="1">
      <alignment horizontal="center"/>
    </xf>
    <xf numFmtId="0" fontId="9" fillId="4" borderId="14" xfId="5" applyFont="1" applyFill="1" applyBorder="1" applyAlignment="1">
      <alignment horizontal="center"/>
    </xf>
    <xf numFmtId="0" fontId="9" fillId="4" borderId="12" xfId="5" applyFont="1" applyFill="1" applyBorder="1" applyAlignment="1">
      <alignment horizontal="center"/>
    </xf>
    <xf numFmtId="0" fontId="9" fillId="0" borderId="10" xfId="5" applyFont="1" applyBorder="1" applyAlignment="1">
      <alignment horizontal="left" vertical="center" wrapText="1"/>
    </xf>
    <xf numFmtId="0" fontId="9" fillId="0" borderId="3" xfId="5" applyFont="1" applyBorder="1" applyAlignment="1">
      <alignment horizontal="left" vertical="center" wrapText="1"/>
    </xf>
    <xf numFmtId="0" fontId="9" fillId="0" borderId="11" xfId="5" applyFont="1" applyBorder="1" applyAlignment="1">
      <alignment horizontal="left" vertical="center" wrapText="1"/>
    </xf>
    <xf numFmtId="0" fontId="9" fillId="0" borderId="17" xfId="5" applyFont="1" applyBorder="1" applyAlignment="1">
      <alignment horizontal="center"/>
    </xf>
    <xf numFmtId="0" fontId="9" fillId="0" borderId="10" xfId="5" applyFont="1" applyBorder="1" applyAlignment="1">
      <alignment horizontal="center" vertical="center" wrapText="1"/>
    </xf>
    <xf numFmtId="0" fontId="9" fillId="0" borderId="3" xfId="5" applyFont="1" applyBorder="1" applyAlignment="1">
      <alignment horizontal="center" vertical="center" wrapText="1"/>
    </xf>
    <xf numFmtId="0" fontId="9" fillId="0" borderId="11" xfId="5" applyFont="1" applyBorder="1" applyAlignment="1">
      <alignment horizontal="center" vertical="center" wrapText="1"/>
    </xf>
    <xf numFmtId="0" fontId="9" fillId="0" borderId="10" xfId="5" applyFont="1" applyBorder="1" applyAlignment="1">
      <alignment vertical="center" wrapText="1"/>
    </xf>
    <xf numFmtId="0" fontId="9" fillId="0" borderId="11" xfId="5" applyFont="1" applyBorder="1" applyAlignment="1">
      <alignment vertical="center" wrapText="1"/>
    </xf>
    <xf numFmtId="0" fontId="0" fillId="0" borderId="1" xfId="0" applyBorder="1" applyAlignment="1">
      <alignment horizontal="right"/>
    </xf>
    <xf numFmtId="0" fontId="7" fillId="8" borderId="0" xfId="0" applyFont="1" applyFill="1" applyAlignment="1">
      <alignment vertical="top" wrapText="1"/>
    </xf>
    <xf numFmtId="0" fontId="0" fillId="8" borderId="0" xfId="0" applyFill="1" applyAlignment="1">
      <alignment vertical="top" wrapText="1"/>
    </xf>
    <xf numFmtId="0" fontId="0" fillId="4" borderId="3" xfId="0" applyFill="1" applyBorder="1" applyAlignment="1">
      <alignment horizontal="center" vertical="center" wrapText="1"/>
    </xf>
    <xf numFmtId="0" fontId="0" fillId="4" borderId="4" xfId="0" applyFill="1" applyBorder="1" applyAlignment="1">
      <alignment horizontal="center" vertical="center"/>
    </xf>
    <xf numFmtId="0" fontId="0" fillId="4" borderId="5" xfId="0" applyFill="1" applyBorder="1" applyAlignment="1">
      <alignment horizontal="center" vertical="center"/>
    </xf>
    <xf numFmtId="0" fontId="0" fillId="4" borderId="4" xfId="0" applyFill="1" applyBorder="1" applyAlignment="1">
      <alignment horizontal="center" vertical="center" wrapText="1"/>
    </xf>
    <xf numFmtId="0" fontId="0" fillId="4" borderId="0" xfId="0" applyFill="1" applyAlignment="1">
      <alignment horizontal="center" vertical="center" wrapText="1"/>
    </xf>
    <xf numFmtId="0" fontId="0" fillId="4" borderId="5" xfId="0" applyFill="1" applyBorder="1" applyAlignment="1">
      <alignment horizontal="center" vertical="center" wrapText="1"/>
    </xf>
    <xf numFmtId="0" fontId="0" fillId="4" borderId="3" xfId="0" applyFill="1" applyBorder="1" applyAlignment="1">
      <alignment horizontal="center"/>
    </xf>
    <xf numFmtId="0" fontId="0" fillId="0" borderId="0" xfId="0" applyAlignment="1">
      <alignment horizontal="center"/>
    </xf>
    <xf numFmtId="0" fontId="7" fillId="4" borderId="3" xfId="0" applyFont="1" applyFill="1" applyBorder="1" applyAlignment="1">
      <alignment horizontal="center"/>
    </xf>
    <xf numFmtId="0" fontId="7" fillId="4" borderId="15" xfId="0" applyFont="1" applyFill="1" applyBorder="1" applyAlignment="1">
      <alignment horizontal="center" vertical="center"/>
    </xf>
    <xf numFmtId="0" fontId="7" fillId="4" borderId="12" xfId="0" applyFont="1" applyFill="1" applyBorder="1" applyAlignment="1">
      <alignment horizontal="center" vertical="center"/>
    </xf>
    <xf numFmtId="0" fontId="7" fillId="4" borderId="18" xfId="0" applyFont="1" applyFill="1" applyBorder="1" applyAlignment="1">
      <alignment horizontal="center" vertical="center"/>
    </xf>
  </cellXfs>
  <cellStyles count="9">
    <cellStyle name="DateLong" xfId="2" xr:uid="{00000000-0005-0000-0000-000001000000}"/>
    <cellStyle name="Normal 6" xfId="3" xr:uid="{AF3272C0-51CF-4727-99B7-E10F0863E310}"/>
    <cellStyle name="パーセント" xfId="1" builtinId="5"/>
    <cellStyle name="ハイパーリンク" xfId="8" builtinId="8"/>
    <cellStyle name="桁区切り" xfId="4" builtinId="6"/>
    <cellStyle name="桁区切り [0.00]" xfId="7" builtinId="3"/>
    <cellStyle name="桁区切り [0.00] 2" xfId="6" xr:uid="{F3D13B0B-88BC-4A81-9962-1AFAA288F322}"/>
    <cellStyle name="標準" xfId="0" builtinId="0"/>
    <cellStyle name="標準 2" xfId="5" xr:uid="{FE6C125E-73AC-4BE2-A34D-248CD6D41A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庄　智之_SHO Tomoyuki" id="{38ECEF48-440C-4BAB-B435-75BDF0B5B968}" userId="S::sho.tomoyuki@icnet.co.jp::07fd2af6-54c8-4806-82ff-a9175af3933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G9" dT="2022-07-31T06:44:30.70" personId="{38ECEF48-440C-4BAB-B435-75BDF0B5B968}" id="{A1A92486-DB17-407B-BE5E-0D7F8C803349}">
    <text>Including salvage value</text>
  </threadedComment>
  <threadedComment ref="AG20" dT="2022-07-31T06:45:03.14" personId="{38ECEF48-440C-4BAB-B435-75BDF0B5B968}" id="{783FD8C0-C645-4805-AFEA-487549E9B8AD}">
    <text>Including salvage value</text>
  </threadedComment>
</ThreadedComments>
</file>

<file path=xl/threadedComments/threadedComment2.xml><?xml version="1.0" encoding="utf-8"?>
<ThreadedComments xmlns="http://schemas.microsoft.com/office/spreadsheetml/2018/threadedcomments" xmlns:x="http://schemas.openxmlformats.org/spreadsheetml/2006/main">
  <threadedComment ref="I34" dT="2022-07-31T06:44:30.70" personId="{38ECEF48-440C-4BAB-B435-75BDF0B5B968}" id="{E2645399-AE19-4296-B76E-0982DFC833B0}">
    <text>Including salvage value</text>
  </threadedComment>
  <threadedComment ref="T34" dT="2022-07-31T06:45:03.14" personId="{38ECEF48-440C-4BAB-B435-75BDF0B5B968}" id="{2E79140E-4377-44B8-BDDD-A61B5BCE4C20}">
    <text>Including salvage value</text>
  </threadedComment>
</ThreadedComments>
</file>

<file path=xl/threadedComments/threadedComment3.xml><?xml version="1.0" encoding="utf-8"?>
<ThreadedComments xmlns="http://schemas.microsoft.com/office/spreadsheetml/2018/threadedcomments" xmlns:x="http://schemas.openxmlformats.org/spreadsheetml/2006/main">
  <threadedComment ref="AG12" dT="2022-07-31T06:45:26.10" personId="{38ECEF48-440C-4BAB-B435-75BDF0B5B968}" id="{24700379-0585-4A1C-876C-66EDEC12BB9D}">
    <text>Including salvage value</text>
  </threadedComment>
  <threadedComment ref="AG26" dT="2022-07-31T06:45:57.36" personId="{38ECEF48-440C-4BAB-B435-75BDF0B5B968}" id="{E8430EF6-C150-4995-91A2-1D3F0819A8B4}">
    <text>Including salvage value</text>
  </threadedComment>
</ThreadedComments>
</file>

<file path=xl/threadedComments/threadedComment4.xml><?xml version="1.0" encoding="utf-8"?>
<ThreadedComments xmlns="http://schemas.microsoft.com/office/spreadsheetml/2018/threadedcomments" xmlns:x="http://schemas.openxmlformats.org/spreadsheetml/2006/main">
  <threadedComment ref="L34" dT="2022-07-31T06:45:26.10" personId="{38ECEF48-440C-4BAB-B435-75BDF0B5B968}" id="{0C9F0BE1-A389-445B-8410-5E942A19E14B}">
    <text>Including salvage value</text>
  </threadedComment>
  <threadedComment ref="Z34" dT="2022-07-31T06:45:57.36" personId="{38ECEF48-440C-4BAB-B435-75BDF0B5B968}" id="{60A4E1D2-A29A-4BFD-B5DF-7C372270F531}">
    <text>Including salvage value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 Id="rId4" Type="http://schemas.microsoft.com/office/2017/10/relationships/threadedComment" Target="../threadedComments/threadedComment4.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057B6-A7F4-4DFB-8BB8-DF83467DA650}">
  <sheetPr codeName="Sheet1">
    <tabColor theme="7" tint="0.59999389629810485"/>
  </sheetPr>
  <dimension ref="A1:I20"/>
  <sheetViews>
    <sheetView tabSelected="1" zoomScale="80" zoomScaleNormal="80" workbookViewId="0">
      <pane xSplit="1" ySplit="1" topLeftCell="B2" activePane="bottomRight" state="frozen"/>
      <selection pane="topRight" activeCell="B1" sqref="B1"/>
      <selection pane="bottomLeft" activeCell="A2" sqref="A2"/>
      <selection pane="bottomRight" activeCell="B24" sqref="B24"/>
    </sheetView>
  </sheetViews>
  <sheetFormatPr defaultRowHeight="18" x14ac:dyDescent="0.55000000000000004"/>
  <cols>
    <col min="1" max="1" width="2.58203125" customWidth="1"/>
    <col min="2" max="2" width="103.75" bestFit="1" customWidth="1"/>
    <col min="3" max="3" width="2.58203125" customWidth="1"/>
  </cols>
  <sheetData>
    <row r="1" spans="1:9" s="3" customFormat="1" ht="20" x14ac:dyDescent="0.6">
      <c r="A1" s="5" t="s">
        <v>218</v>
      </c>
      <c r="E1" s="5"/>
    </row>
    <row r="2" spans="1:9" ht="3.5" customHeight="1" x14ac:dyDescent="0.6">
      <c r="A2" s="6"/>
      <c r="E2" s="6"/>
    </row>
    <row r="3" spans="1:9" ht="18" customHeight="1" x14ac:dyDescent="0.6">
      <c r="A3" s="6"/>
      <c r="B3" s="279" t="s">
        <v>210</v>
      </c>
      <c r="E3" s="6"/>
    </row>
    <row r="4" spans="1:9" ht="18" customHeight="1" x14ac:dyDescent="0.6">
      <c r="A4" s="6"/>
      <c r="B4" s="279" t="s">
        <v>211</v>
      </c>
      <c r="D4" s="372" t="s">
        <v>217</v>
      </c>
      <c r="E4" s="372"/>
      <c r="F4" s="372"/>
      <c r="G4" s="372"/>
      <c r="H4" s="372"/>
      <c r="I4" s="372"/>
    </row>
    <row r="5" spans="1:9" ht="4" customHeight="1" x14ac:dyDescent="0.55000000000000004"/>
    <row r="6" spans="1:9" ht="18" customHeight="1" x14ac:dyDescent="0.55000000000000004">
      <c r="B6" s="166" t="s">
        <v>98</v>
      </c>
      <c r="D6" s="371" t="s">
        <v>220</v>
      </c>
      <c r="E6" s="371"/>
      <c r="F6" s="371"/>
      <c r="G6" s="371"/>
      <c r="H6" s="371"/>
      <c r="I6" s="371"/>
    </row>
    <row r="7" spans="1:9" x14ac:dyDescent="0.55000000000000004">
      <c r="B7" s="279" t="s">
        <v>221</v>
      </c>
      <c r="D7" s="371"/>
      <c r="E7" s="371"/>
      <c r="F7" s="371"/>
      <c r="G7" s="371"/>
      <c r="H7" s="371"/>
      <c r="I7" s="371"/>
    </row>
    <row r="8" spans="1:9" x14ac:dyDescent="0.55000000000000004">
      <c r="B8" s="279" t="s">
        <v>222</v>
      </c>
      <c r="D8" s="371"/>
      <c r="E8" s="371"/>
      <c r="F8" s="371"/>
      <c r="G8" s="371"/>
      <c r="H8" s="371"/>
      <c r="I8" s="371"/>
    </row>
    <row r="9" spans="1:9" x14ac:dyDescent="0.55000000000000004">
      <c r="B9" s="279" t="s">
        <v>212</v>
      </c>
      <c r="D9" s="371"/>
      <c r="E9" s="371"/>
      <c r="F9" s="371"/>
      <c r="G9" s="371"/>
      <c r="H9" s="371"/>
      <c r="I9" s="371"/>
    </row>
    <row r="10" spans="1:9" x14ac:dyDescent="0.55000000000000004">
      <c r="B10" s="279" t="s">
        <v>223</v>
      </c>
      <c r="D10" s="371"/>
      <c r="E10" s="371"/>
      <c r="F10" s="371"/>
      <c r="G10" s="371"/>
      <c r="H10" s="371"/>
      <c r="I10" s="371"/>
    </row>
    <row r="11" spans="1:9" x14ac:dyDescent="0.55000000000000004">
      <c r="B11" s="279" t="s">
        <v>224</v>
      </c>
      <c r="D11" s="371"/>
      <c r="E11" s="371"/>
      <c r="F11" s="371"/>
      <c r="G11" s="371"/>
      <c r="H11" s="371"/>
      <c r="I11" s="371"/>
    </row>
    <row r="12" spans="1:9" ht="4" customHeight="1" x14ac:dyDescent="0.55000000000000004"/>
    <row r="13" spans="1:9" x14ac:dyDescent="0.55000000000000004">
      <c r="B13" s="167" t="s">
        <v>99</v>
      </c>
    </row>
    <row r="14" spans="1:9" x14ac:dyDescent="0.55000000000000004">
      <c r="B14" s="279" t="s">
        <v>213</v>
      </c>
    </row>
    <row r="15" spans="1:9" x14ac:dyDescent="0.55000000000000004">
      <c r="B15" s="279" t="s">
        <v>214</v>
      </c>
    </row>
    <row r="16" spans="1:9" x14ac:dyDescent="0.55000000000000004">
      <c r="B16" s="279" t="s">
        <v>225</v>
      </c>
    </row>
    <row r="17" spans="2:4" x14ac:dyDescent="0.55000000000000004">
      <c r="B17" s="279" t="s">
        <v>226</v>
      </c>
    </row>
    <row r="18" spans="2:4" ht="4" customHeight="1" x14ac:dyDescent="0.55000000000000004"/>
    <row r="19" spans="2:4" x14ac:dyDescent="0.55000000000000004">
      <c r="B19" s="279" t="s">
        <v>216</v>
      </c>
    </row>
    <row r="20" spans="2:4" x14ac:dyDescent="0.55000000000000004">
      <c r="B20" s="279" t="s">
        <v>215</v>
      </c>
      <c r="D20" t="s">
        <v>283</v>
      </c>
    </row>
  </sheetData>
  <sheetProtection algorithmName="SHA-512" hashValue="yCho5wE4dDpOqckhXT83EqFHRNZ/X6ldkBVVbK7iGvlT5eLHhxB4RFcJkJXOeDXEnPhWrPjSpW+NcaoSSfRCEw==" saltValue="l0gQV6+LHNRiUeH05V65+w==" spinCount="100000" sheet="1" objects="1" scenarios="1"/>
  <mergeCells count="2">
    <mergeCell ref="D6:I11"/>
    <mergeCell ref="D4:I4"/>
  </mergeCells>
  <phoneticPr fontId="4"/>
  <hyperlinks>
    <hyperlink ref="B3" location="'0.Contents'!A1" display="0.Contents --&gt; Table of contents" xr:uid="{E707607D-E8EB-4F09-B3CF-17DD8A026C3F}"/>
    <hyperlink ref="B4" location="'1.Params_8.Sensitivity'!A1" display="1.Params --&gt; Setting model parameters &amp; project assumptions/variables" xr:uid="{3BCFF02D-27EA-40E2-99CC-394533BFE237}"/>
    <hyperlink ref="B7" location="'2a.FCosts'!A1" display="2a.FCosts --&gt; Identifying and quantifying financial costs (1)" xr:uid="{21F7EBEA-9258-4683-BF1A-8E447012D2A3}"/>
    <hyperlink ref="B8" location="'2b.FCosts'!A1" display="2b.FCosts --&gt; Identifying and quantifying financial costs (2)" xr:uid="{9A400494-04C5-4602-B579-C61CD360C65B}"/>
    <hyperlink ref="B9" location="'3.FBenefits'!A1" display="3.FBenefits --&gt; Identifying and quantifying financial benefits" xr:uid="{69CC3133-0D1F-4984-A610-BA96E0706E22}"/>
    <hyperlink ref="B10" location="'4a.FAnalysis'!A1" display="4a.FAnalysis --&gt; Constructing financial cash flow tables and estimating financial indicators (in horizontal format)" xr:uid="{ECE79CEB-EEF0-46AE-947E-4070C0C19F42}"/>
    <hyperlink ref="B11" location="'4b.FAnalysis'!A1" display="4b.FAnalysis --&gt; Constructing financial cash flow tables and estimating financial indicators (in vertical format)" xr:uid="{B1852DDD-3133-4DE6-9BBF-28DB019A56CD}"/>
    <hyperlink ref="B14" location="'5.ECosts'!A1" display="5.ECosts --&gt; Identifying and quantifying economic costs" xr:uid="{467DE5FA-74A3-45F9-A704-67BC60D04642}"/>
    <hyperlink ref="B15" location="'6.EBenefits'!A1" display="6.EBenefits --&gt; Identifying and quantifying economic benefits" xr:uid="{9B18D807-FDF5-4B04-B4C8-28BC656AEE74}"/>
    <hyperlink ref="B16" location="'7a.EAnalysis'!A1" display="7a.EAnalysis --&gt; Constructing economic cash flow tables and estimating economic indicators (in horizontal format)" xr:uid="{8D931D33-7843-4F9C-938B-17CD12B2E759}"/>
    <hyperlink ref="B17" location="'7b.EAnalysis'!A1" display="7b.EAnalysis --&gt; Constructing economic cash flow tables and estimating economic indicators (in vertical format)" xr:uid="{A198FB0D-CC95-4E67-8A9D-6AF7C7240B82}"/>
    <hyperlink ref="B19" location="'1.Params_8.Sensitivity'!A26" display="8.Sensitivity --&gt; Testing sensitivity of the results to parameters &amp; assumptions" xr:uid="{D286B432-899D-4CDD-887A-8316F6EF6626}"/>
    <hyperlink ref="B20" location="'9.Results'!A1" display="9.Results --&gt; Summarizing the results of financial and economic analysis" xr:uid="{CCED313E-7174-48AD-9219-C4BE1BAE77A7}"/>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EE438-56E3-450B-A37F-88625E471DF2}">
  <sheetPr codeName="Sheet10">
    <tabColor theme="5" tint="0.59999389629810485"/>
  </sheetPr>
  <dimension ref="A1:AH30"/>
  <sheetViews>
    <sheetView zoomScale="70" zoomScaleNormal="70" workbookViewId="0">
      <pane xSplit="1" ySplit="1" topLeftCell="B2" activePane="bottomRight" state="frozen"/>
      <selection pane="topRight" activeCell="B1" sqref="B1"/>
      <selection pane="bottomLeft" activeCell="A3" sqref="A3"/>
      <selection pane="bottomRight"/>
    </sheetView>
  </sheetViews>
  <sheetFormatPr defaultRowHeight="18" x14ac:dyDescent="0.55000000000000004"/>
  <cols>
    <col min="1" max="1" width="2.58203125" customWidth="1"/>
    <col min="2" max="2" width="46.58203125" customWidth="1"/>
    <col min="3" max="3" width="12" bestFit="1" customWidth="1"/>
    <col min="4" max="34" width="10.9140625" customWidth="1"/>
  </cols>
  <sheetData>
    <row r="1" spans="1:34" s="3" customFormat="1" ht="20" x14ac:dyDescent="0.6">
      <c r="A1" s="5" t="str">
        <f>"Cash Flows of Economic Costs and Benefits ("&amp;MID('0.Contents'!A1,20,(LEN('0.Contents'!A1)-20))&amp;")----Horizontal format"</f>
        <v>Cash Flows of Economic Costs and Benefits (Power Transmission)----Horizontal format</v>
      </c>
    </row>
    <row r="2" spans="1:34" ht="20" x14ac:dyDescent="0.6">
      <c r="A2" s="6"/>
      <c r="B2" s="412" t="s">
        <v>147</v>
      </c>
      <c r="C2" s="414" t="s">
        <v>24</v>
      </c>
      <c r="D2" s="417" t="s">
        <v>0</v>
      </c>
      <c r="E2" s="417"/>
      <c r="F2" s="417"/>
      <c r="G2" s="417"/>
      <c r="H2" s="417"/>
      <c r="I2" s="417"/>
      <c r="J2" s="417"/>
      <c r="K2" s="417"/>
      <c r="L2" s="417"/>
      <c r="M2" s="417"/>
      <c r="N2" s="417"/>
      <c r="O2" s="417"/>
      <c r="P2" s="417"/>
      <c r="Q2" s="417"/>
      <c r="R2" s="417"/>
      <c r="S2" s="417"/>
      <c r="T2" s="417"/>
      <c r="U2" s="417"/>
      <c r="V2" s="417"/>
      <c r="W2" s="417"/>
      <c r="X2" s="417"/>
      <c r="Y2" s="417"/>
      <c r="Z2" s="417"/>
      <c r="AA2" s="417"/>
      <c r="AB2" s="417"/>
      <c r="AC2" s="417"/>
      <c r="AD2" s="417"/>
      <c r="AE2" s="417"/>
      <c r="AF2" s="417"/>
      <c r="AG2" s="417"/>
      <c r="AH2" s="412" t="s">
        <v>30</v>
      </c>
    </row>
    <row r="3" spans="1:34" ht="20" x14ac:dyDescent="0.6">
      <c r="A3" s="6"/>
      <c r="B3" s="413"/>
      <c r="C3" s="416"/>
      <c r="D3" s="11">
        <v>1</v>
      </c>
      <c r="E3" s="11">
        <v>2</v>
      </c>
      <c r="F3" s="11">
        <v>3</v>
      </c>
      <c r="G3" s="11">
        <v>4</v>
      </c>
      <c r="H3" s="11">
        <v>5</v>
      </c>
      <c r="I3" s="11">
        <v>6</v>
      </c>
      <c r="J3" s="83">
        <v>7</v>
      </c>
      <c r="K3" s="83">
        <v>8</v>
      </c>
      <c r="L3" s="83">
        <v>9</v>
      </c>
      <c r="M3" s="83">
        <v>10</v>
      </c>
      <c r="N3" s="83">
        <v>11</v>
      </c>
      <c r="O3" s="83">
        <v>12</v>
      </c>
      <c r="P3" s="83">
        <v>13</v>
      </c>
      <c r="Q3" s="83">
        <v>14</v>
      </c>
      <c r="R3" s="83">
        <v>15</v>
      </c>
      <c r="S3" s="83">
        <v>16</v>
      </c>
      <c r="T3" s="83">
        <v>17</v>
      </c>
      <c r="U3" s="83">
        <v>18</v>
      </c>
      <c r="V3" s="83">
        <v>19</v>
      </c>
      <c r="W3" s="83">
        <v>20</v>
      </c>
      <c r="X3" s="83">
        <v>21</v>
      </c>
      <c r="Y3" s="83">
        <v>22</v>
      </c>
      <c r="Z3" s="83">
        <v>23</v>
      </c>
      <c r="AA3" s="83">
        <v>24</v>
      </c>
      <c r="AB3" s="83">
        <v>25</v>
      </c>
      <c r="AC3" s="83">
        <v>26</v>
      </c>
      <c r="AD3" s="83">
        <v>27</v>
      </c>
      <c r="AE3" s="83">
        <v>28</v>
      </c>
      <c r="AF3" s="83">
        <v>29</v>
      </c>
      <c r="AG3" s="83">
        <v>30</v>
      </c>
      <c r="AH3" s="413"/>
    </row>
    <row r="4" spans="1:34" x14ac:dyDescent="0.55000000000000004">
      <c r="B4" s="19" t="s">
        <v>1</v>
      </c>
      <c r="C4" s="60">
        <f>SUM(D4:AG4)+C7</f>
        <v>177235.39826086949</v>
      </c>
      <c r="D4" s="61">
        <f>SUM(D5:D6)*'1.Params_8.Sensitivity'!$D$28</f>
        <v>14361.74703283342</v>
      </c>
      <c r="E4" s="61">
        <f>SUM(E5:E6)*'1.Params_8.Sensitivity'!$D$28</f>
        <v>25883.619611786584</v>
      </c>
      <c r="F4" s="61">
        <f>SUM(F5:F6)*'1.Params_8.Sensitivity'!$D$28</f>
        <v>42844.562476075931</v>
      </c>
      <c r="G4" s="61">
        <f>SUM(G5:G6)*'1.Params_8.Sensitivity'!$D$28</f>
        <v>35908.812194845443</v>
      </c>
      <c r="H4" s="61">
        <f>SUM(H5:H6)*'1.Params_8.Sensitivity'!$D$28</f>
        <v>30374.646922380027</v>
      </c>
      <c r="I4" s="61">
        <f>SUM(I5:I6)*'1.Params_8.Sensitivity'!$D$28</f>
        <v>17510.705675122139</v>
      </c>
      <c r="J4" s="61">
        <f>SUM(J5:J6)*'1.Params_8.Sensitivity'!$D$28</f>
        <v>431.304347826087</v>
      </c>
      <c r="K4" s="61">
        <f>SUM(K5:K6)*'1.Params_8.Sensitivity'!$D$28</f>
        <v>431.304347826087</v>
      </c>
      <c r="L4" s="61">
        <f>SUM(L5:L6)*'1.Params_8.Sensitivity'!$D$28</f>
        <v>431.304347826087</v>
      </c>
      <c r="M4" s="61">
        <f>SUM(M5:M6)*'1.Params_8.Sensitivity'!$D$28</f>
        <v>431.304347826087</v>
      </c>
      <c r="N4" s="61">
        <f>SUM(N5:N6)*'1.Params_8.Sensitivity'!$D$28</f>
        <v>431.304347826087</v>
      </c>
      <c r="O4" s="61">
        <f>SUM(O5:O6)*'1.Params_8.Sensitivity'!$D$28</f>
        <v>431.304347826087</v>
      </c>
      <c r="P4" s="61">
        <f>SUM(P5:P6)*'1.Params_8.Sensitivity'!$D$28</f>
        <v>431.304347826087</v>
      </c>
      <c r="Q4" s="61">
        <f>SUM(Q5:Q6)*'1.Params_8.Sensitivity'!$D$28</f>
        <v>431.304347826087</v>
      </c>
      <c r="R4" s="61">
        <f>SUM(R5:R6)*'1.Params_8.Sensitivity'!$D$28</f>
        <v>431.304347826087</v>
      </c>
      <c r="S4" s="61">
        <f>SUM(S5:S6)*'1.Params_8.Sensitivity'!$D$28</f>
        <v>431.304347826087</v>
      </c>
      <c r="T4" s="61">
        <f>SUM(T5:T6)*'1.Params_8.Sensitivity'!$D$28</f>
        <v>431.304347826087</v>
      </c>
      <c r="U4" s="61">
        <f>SUM(U5:U6)*'1.Params_8.Sensitivity'!$D$28</f>
        <v>431.304347826087</v>
      </c>
      <c r="V4" s="61">
        <f>SUM(V5:V6)*'1.Params_8.Sensitivity'!$D$28</f>
        <v>431.304347826087</v>
      </c>
      <c r="W4" s="61">
        <f>SUM(W5:W6)*'1.Params_8.Sensitivity'!$D$28</f>
        <v>431.304347826087</v>
      </c>
      <c r="X4" s="61">
        <f>SUM(X5:X6)*'1.Params_8.Sensitivity'!$D$28</f>
        <v>431.304347826087</v>
      </c>
      <c r="Y4" s="61">
        <f>SUM(Y5:Y6)*'1.Params_8.Sensitivity'!$D$28</f>
        <v>431.304347826087</v>
      </c>
      <c r="Z4" s="61">
        <f>SUM(Z5:Z6)*'1.Params_8.Sensitivity'!$D$28</f>
        <v>431.304347826087</v>
      </c>
      <c r="AA4" s="61">
        <f>SUM(AA5:AA6)*'1.Params_8.Sensitivity'!$D$28</f>
        <v>431.304347826087</v>
      </c>
      <c r="AB4" s="61">
        <f>SUM(AB5:AB6)*'1.Params_8.Sensitivity'!$D$28</f>
        <v>431.304347826087</v>
      </c>
      <c r="AC4" s="61">
        <f>SUM(AC5:AC6)*'1.Params_8.Sensitivity'!$D$28</f>
        <v>431.304347826087</v>
      </c>
      <c r="AD4" s="61">
        <f>SUM(AD5:AD6)*'1.Params_8.Sensitivity'!$D$28</f>
        <v>431.304347826087</v>
      </c>
      <c r="AE4" s="61">
        <f>SUM(AE5:AE6)*'1.Params_8.Sensitivity'!$D$28</f>
        <v>431.304347826087</v>
      </c>
      <c r="AF4" s="61">
        <f>SUM(AF5:AF6)*'1.Params_8.Sensitivity'!$D$28</f>
        <v>431.304347826087</v>
      </c>
      <c r="AG4" s="61">
        <f>SUM(AG5:AG6)*'1.Params_8.Sensitivity'!$D$28</f>
        <v>431.304347826087</v>
      </c>
      <c r="AH4" s="62"/>
    </row>
    <row r="5" spans="1:34" x14ac:dyDescent="0.55000000000000004">
      <c r="B5" s="20" t="s">
        <v>158</v>
      </c>
      <c r="C5" s="57">
        <f t="shared" ref="C5:C6" si="0">SUM(D5:AG5)</f>
        <v>166463.18400000007</v>
      </c>
      <c r="D5" s="204">
        <f>'5.ECosts'!H$32</f>
        <v>14361.74703283342</v>
      </c>
      <c r="E5" s="204">
        <f>'5.ECosts'!I$32</f>
        <v>25883.619611786584</v>
      </c>
      <c r="F5" s="204">
        <f>'5.ECosts'!J$32</f>
        <v>42844.562476075931</v>
      </c>
      <c r="G5" s="204">
        <f>'5.ECosts'!K$32</f>
        <v>35816.426803541093</v>
      </c>
      <c r="H5" s="204">
        <f>'5.ECosts'!L$32</f>
        <v>30263.801704988724</v>
      </c>
      <c r="I5" s="204">
        <f>'5.ECosts'!M$32</f>
        <v>17293.026370774314</v>
      </c>
      <c r="J5" s="331" t="s">
        <v>31</v>
      </c>
      <c r="K5" s="331" t="s">
        <v>31</v>
      </c>
      <c r="L5" s="331" t="s">
        <v>31</v>
      </c>
      <c r="M5" s="331" t="s">
        <v>31</v>
      </c>
      <c r="N5" s="331" t="s">
        <v>31</v>
      </c>
      <c r="O5" s="331" t="s">
        <v>31</v>
      </c>
      <c r="P5" s="331" t="s">
        <v>31</v>
      </c>
      <c r="Q5" s="331" t="s">
        <v>31</v>
      </c>
      <c r="R5" s="331" t="s">
        <v>31</v>
      </c>
      <c r="S5" s="331" t="s">
        <v>31</v>
      </c>
      <c r="T5" s="331" t="s">
        <v>31</v>
      </c>
      <c r="U5" s="331" t="s">
        <v>31</v>
      </c>
      <c r="V5" s="331" t="s">
        <v>31</v>
      </c>
      <c r="W5" s="331" t="s">
        <v>31</v>
      </c>
      <c r="X5" s="331" t="s">
        <v>31</v>
      </c>
      <c r="Y5" s="331" t="s">
        <v>31</v>
      </c>
      <c r="Z5" s="331" t="s">
        <v>31</v>
      </c>
      <c r="AA5" s="331" t="s">
        <v>31</v>
      </c>
      <c r="AB5" s="331" t="s">
        <v>31</v>
      </c>
      <c r="AC5" s="331" t="s">
        <v>31</v>
      </c>
      <c r="AD5" s="331" t="s">
        <v>31</v>
      </c>
      <c r="AE5" s="331" t="s">
        <v>31</v>
      </c>
      <c r="AF5" s="331" t="s">
        <v>31</v>
      </c>
      <c r="AG5" s="331" t="s">
        <v>31</v>
      </c>
      <c r="AH5" s="57"/>
    </row>
    <row r="6" spans="1:34" x14ac:dyDescent="0.55000000000000004">
      <c r="B6" s="20" t="s">
        <v>159</v>
      </c>
      <c r="C6" s="57">
        <f t="shared" si="0"/>
        <v>10772.214260869569</v>
      </c>
      <c r="D6" s="55">
        <f>'5.ECosts'!H$54</f>
        <v>0</v>
      </c>
      <c r="E6" s="55">
        <f>'5.ECosts'!I$54</f>
        <v>0</v>
      </c>
      <c r="F6" s="55">
        <f>'5.ECosts'!J$54</f>
        <v>0</v>
      </c>
      <c r="G6" s="205">
        <f>'5.ECosts'!K$54</f>
        <v>92.385391304347834</v>
      </c>
      <c r="H6" s="205">
        <f>'5.ECosts'!L$54</f>
        <v>110.84521739130436</v>
      </c>
      <c r="I6" s="205">
        <f>'5.ECosts'!M$54</f>
        <v>217.67930434782613</v>
      </c>
      <c r="J6" s="205">
        <f>'5.ECosts'!N$54</f>
        <v>431.304347826087</v>
      </c>
      <c r="K6" s="205">
        <f>'5.ECosts'!O$54</f>
        <v>431.304347826087</v>
      </c>
      <c r="L6" s="205">
        <f>'5.ECosts'!P$54</f>
        <v>431.304347826087</v>
      </c>
      <c r="M6" s="205">
        <f>'5.ECosts'!Q$54</f>
        <v>431.304347826087</v>
      </c>
      <c r="N6" s="205">
        <f>'5.ECosts'!R$54</f>
        <v>431.304347826087</v>
      </c>
      <c r="O6" s="205">
        <f>'5.ECosts'!S$54</f>
        <v>431.304347826087</v>
      </c>
      <c r="P6" s="205">
        <f>'5.ECosts'!T$54</f>
        <v>431.304347826087</v>
      </c>
      <c r="Q6" s="205">
        <f>'5.ECosts'!U$54</f>
        <v>431.304347826087</v>
      </c>
      <c r="R6" s="205">
        <f>'5.ECosts'!V$54</f>
        <v>431.304347826087</v>
      </c>
      <c r="S6" s="205">
        <f>'5.ECosts'!W$54</f>
        <v>431.304347826087</v>
      </c>
      <c r="T6" s="205">
        <f>'5.ECosts'!X$54</f>
        <v>431.304347826087</v>
      </c>
      <c r="U6" s="205">
        <f>'5.ECosts'!Y$54</f>
        <v>431.304347826087</v>
      </c>
      <c r="V6" s="205">
        <f>'5.ECosts'!Z$54</f>
        <v>431.304347826087</v>
      </c>
      <c r="W6" s="205">
        <f>'5.ECosts'!AA$54</f>
        <v>431.304347826087</v>
      </c>
      <c r="X6" s="205">
        <f>'5.ECosts'!AB$54</f>
        <v>431.304347826087</v>
      </c>
      <c r="Y6" s="205">
        <f>'5.ECosts'!AC$54</f>
        <v>431.304347826087</v>
      </c>
      <c r="Z6" s="205">
        <f>'5.ECosts'!AD$54</f>
        <v>431.304347826087</v>
      </c>
      <c r="AA6" s="205">
        <f>'5.ECosts'!AE$54</f>
        <v>431.304347826087</v>
      </c>
      <c r="AB6" s="205">
        <f>'5.ECosts'!AF$54</f>
        <v>431.304347826087</v>
      </c>
      <c r="AC6" s="205">
        <f>'5.ECosts'!AG$54</f>
        <v>431.304347826087</v>
      </c>
      <c r="AD6" s="205">
        <f>'5.ECosts'!AH$54</f>
        <v>431.304347826087</v>
      </c>
      <c r="AE6" s="205">
        <f>'5.ECosts'!AI$54</f>
        <v>431.304347826087</v>
      </c>
      <c r="AF6" s="205">
        <f>'5.ECosts'!AJ$54</f>
        <v>431.304347826087</v>
      </c>
      <c r="AG6" s="205">
        <f>'5.ECosts'!AK$54</f>
        <v>431.304347826087</v>
      </c>
      <c r="AH6" s="57"/>
    </row>
    <row r="7" spans="1:34" x14ac:dyDescent="0.55000000000000004">
      <c r="B7" s="20" t="s">
        <v>160</v>
      </c>
      <c r="C7" s="57">
        <f>AH7</f>
        <v>0</v>
      </c>
      <c r="D7" s="331" t="s">
        <v>31</v>
      </c>
      <c r="E7" s="331" t="s">
        <v>31</v>
      </c>
      <c r="F7" s="331" t="s">
        <v>31</v>
      </c>
      <c r="G7" s="331" t="s">
        <v>31</v>
      </c>
      <c r="H7" s="331" t="s">
        <v>31</v>
      </c>
      <c r="I7" s="331" t="s">
        <v>31</v>
      </c>
      <c r="J7" s="331" t="s">
        <v>31</v>
      </c>
      <c r="K7" s="331" t="s">
        <v>31</v>
      </c>
      <c r="L7" s="331" t="s">
        <v>31</v>
      </c>
      <c r="M7" s="331" t="s">
        <v>31</v>
      </c>
      <c r="N7" s="331" t="s">
        <v>31</v>
      </c>
      <c r="O7" s="331" t="s">
        <v>31</v>
      </c>
      <c r="P7" s="331" t="s">
        <v>31</v>
      </c>
      <c r="Q7" s="331" t="s">
        <v>31</v>
      </c>
      <c r="R7" s="331" t="s">
        <v>31</v>
      </c>
      <c r="S7" s="331" t="s">
        <v>31</v>
      </c>
      <c r="T7" s="331" t="s">
        <v>31</v>
      </c>
      <c r="U7" s="331" t="s">
        <v>31</v>
      </c>
      <c r="V7" s="331" t="s">
        <v>31</v>
      </c>
      <c r="W7" s="331" t="s">
        <v>31</v>
      </c>
      <c r="X7" s="331" t="s">
        <v>31</v>
      </c>
      <c r="Y7" s="331" t="s">
        <v>31</v>
      </c>
      <c r="Z7" s="331" t="s">
        <v>31</v>
      </c>
      <c r="AA7" s="331" t="s">
        <v>31</v>
      </c>
      <c r="AB7" s="331" t="s">
        <v>31</v>
      </c>
      <c r="AC7" s="331" t="s">
        <v>31</v>
      </c>
      <c r="AD7" s="331" t="s">
        <v>31</v>
      </c>
      <c r="AE7" s="331" t="s">
        <v>31</v>
      </c>
      <c r="AF7" s="331" t="s">
        <v>31</v>
      </c>
      <c r="AG7" s="331" t="s">
        <v>31</v>
      </c>
      <c r="AH7" s="57">
        <f>-1*'5.ECosts'!H37</f>
        <v>0</v>
      </c>
    </row>
    <row r="8" spans="1:34" x14ac:dyDescent="0.55000000000000004">
      <c r="B8" s="21" t="s">
        <v>2</v>
      </c>
      <c r="C8" s="58">
        <f>SUM(D8:AG8)</f>
        <v>2259847.9272806039</v>
      </c>
      <c r="D8" s="57">
        <f>SUM(D9:D11)*'1.Params_8.Sensitivity'!$D$27</f>
        <v>0</v>
      </c>
      <c r="E8" s="57">
        <f>SUM(E9:E11)*'1.Params_8.Sensitivity'!$D$27</f>
        <v>0</v>
      </c>
      <c r="F8" s="57">
        <f>SUM(F9:F11)*'1.Params_8.Sensitivity'!$D$27</f>
        <v>0</v>
      </c>
      <c r="G8" s="57">
        <f>SUM(G9:G11)*'1.Params_8.Sensitivity'!$D$27</f>
        <v>19381.060383149565</v>
      </c>
      <c r="H8" s="57">
        <f>SUM(H9:H11)*'1.Params_8.Sensitivity'!$D$27</f>
        <v>23253.653214143036</v>
      </c>
      <c r="I8" s="57">
        <f>SUM(I9:I11)*'1.Params_8.Sensitivity'!$D$27</f>
        <v>45665.831817813189</v>
      </c>
      <c r="J8" s="57">
        <f>SUM(J9:J11)*'1.Params_8.Sensitivity'!$D$27</f>
        <v>90481.140911062394</v>
      </c>
      <c r="K8" s="57">
        <f>SUM(K9:K11)*'1.Params_8.Sensitivity'!$D$27</f>
        <v>90481.140911062394</v>
      </c>
      <c r="L8" s="57">
        <f>SUM(L9:L11)*'1.Params_8.Sensitivity'!$D$27</f>
        <v>90481.140911062394</v>
      </c>
      <c r="M8" s="57">
        <f>SUM(M9:M11)*'1.Params_8.Sensitivity'!$D$27</f>
        <v>90481.140911062394</v>
      </c>
      <c r="N8" s="57">
        <f>SUM(N9:N11)*'1.Params_8.Sensitivity'!$D$27</f>
        <v>90481.140911062394</v>
      </c>
      <c r="O8" s="57">
        <f>SUM(O9:O11)*'1.Params_8.Sensitivity'!$D$27</f>
        <v>90481.140911062394</v>
      </c>
      <c r="P8" s="57">
        <f>SUM(P9:P11)*'1.Params_8.Sensitivity'!$D$27</f>
        <v>90481.140911062394</v>
      </c>
      <c r="Q8" s="57">
        <f>SUM(Q9:Q11)*'1.Params_8.Sensitivity'!$D$27</f>
        <v>90481.140911062394</v>
      </c>
      <c r="R8" s="57">
        <f>SUM(R9:R11)*'1.Params_8.Sensitivity'!$D$27</f>
        <v>90481.140911062394</v>
      </c>
      <c r="S8" s="57">
        <f>SUM(S9:S11)*'1.Params_8.Sensitivity'!$D$27</f>
        <v>90481.140911062394</v>
      </c>
      <c r="T8" s="57">
        <f>SUM(T9:T11)*'1.Params_8.Sensitivity'!$D$27</f>
        <v>90481.140911062394</v>
      </c>
      <c r="U8" s="57">
        <f>SUM(U9:U11)*'1.Params_8.Sensitivity'!$D$27</f>
        <v>90481.140911062394</v>
      </c>
      <c r="V8" s="57">
        <f>SUM(V9:V11)*'1.Params_8.Sensitivity'!$D$27</f>
        <v>90481.140911062394</v>
      </c>
      <c r="W8" s="57">
        <f>SUM(W9:W11)*'1.Params_8.Sensitivity'!$D$27</f>
        <v>90481.140911062394</v>
      </c>
      <c r="X8" s="57">
        <f>SUM(X9:X11)*'1.Params_8.Sensitivity'!$D$27</f>
        <v>90481.140911062394</v>
      </c>
      <c r="Y8" s="57">
        <f>SUM(Y9:Y11)*'1.Params_8.Sensitivity'!$D$27</f>
        <v>90481.140911062394</v>
      </c>
      <c r="Z8" s="57">
        <f>SUM(Z9:Z11)*'1.Params_8.Sensitivity'!$D$27</f>
        <v>90481.140911062394</v>
      </c>
      <c r="AA8" s="57">
        <f>SUM(AA9:AA11)*'1.Params_8.Sensitivity'!$D$27</f>
        <v>90481.140911062394</v>
      </c>
      <c r="AB8" s="57">
        <f>SUM(AB9:AB11)*'1.Params_8.Sensitivity'!$D$27</f>
        <v>90481.140911062394</v>
      </c>
      <c r="AC8" s="57">
        <f>SUM(AC9:AC11)*'1.Params_8.Sensitivity'!$D$27</f>
        <v>90481.140911062394</v>
      </c>
      <c r="AD8" s="57">
        <f>SUM(AD9:AD11)*'1.Params_8.Sensitivity'!$D$27</f>
        <v>90481.140911062394</v>
      </c>
      <c r="AE8" s="57">
        <f>SUM(AE9:AE11)*'1.Params_8.Sensitivity'!$D$27</f>
        <v>90481.140911062394</v>
      </c>
      <c r="AF8" s="57">
        <f>SUM(AF9:AF11)*'1.Params_8.Sensitivity'!$D$27</f>
        <v>90481.140911062394</v>
      </c>
      <c r="AG8" s="57">
        <f>SUM(AG9:AG11)*'1.Params_8.Sensitivity'!$D$27</f>
        <v>90481.140911062394</v>
      </c>
      <c r="AH8" s="57"/>
    </row>
    <row r="9" spans="1:34" s="77" customFormat="1" x14ac:dyDescent="0.55000000000000004">
      <c r="B9" s="20" t="s">
        <v>201</v>
      </c>
      <c r="C9" s="57">
        <f t="shared" ref="C9:C11" si="1">SUM(D9:AG9)</f>
        <v>649879.5690269093</v>
      </c>
      <c r="D9" s="206">
        <f>'6.EBenefits'!F71</f>
        <v>0</v>
      </c>
      <c r="E9" s="206">
        <f>'6.EBenefits'!G71</f>
        <v>0</v>
      </c>
      <c r="F9" s="206">
        <f>'6.EBenefits'!H71</f>
        <v>0</v>
      </c>
      <c r="G9" s="206">
        <f>'6.EBenefits'!I71</f>
        <v>5573.5410409860715</v>
      </c>
      <c r="H9" s="206">
        <f>'6.EBenefits'!J71</f>
        <v>6687.2084385313747</v>
      </c>
      <c r="I9" s="206">
        <f>'6.EBenefits'!K71</f>
        <v>13132.428400493327</v>
      </c>
      <c r="J9" s="206">
        <f>'6.EBenefits'!L75</f>
        <v>26020.26629778745</v>
      </c>
      <c r="K9" s="206">
        <f>'6.EBenefits'!M75</f>
        <v>26020.26629778745</v>
      </c>
      <c r="L9" s="206">
        <f>'6.EBenefits'!N75</f>
        <v>26020.26629778745</v>
      </c>
      <c r="M9" s="206">
        <f>'6.EBenefits'!O75</f>
        <v>26020.26629778745</v>
      </c>
      <c r="N9" s="206">
        <f>'6.EBenefits'!P75</f>
        <v>26020.26629778745</v>
      </c>
      <c r="O9" s="206">
        <f>'6.EBenefits'!Q75</f>
        <v>26020.26629778745</v>
      </c>
      <c r="P9" s="206">
        <f>'6.EBenefits'!R75</f>
        <v>26020.26629778745</v>
      </c>
      <c r="Q9" s="206">
        <f>'6.EBenefits'!S75</f>
        <v>26020.26629778745</v>
      </c>
      <c r="R9" s="206">
        <f>'6.EBenefits'!T75</f>
        <v>26020.26629778745</v>
      </c>
      <c r="S9" s="206">
        <f>'6.EBenefits'!U75</f>
        <v>26020.26629778745</v>
      </c>
      <c r="T9" s="206">
        <f>'6.EBenefits'!V75</f>
        <v>26020.26629778745</v>
      </c>
      <c r="U9" s="206">
        <f>'6.EBenefits'!W75</f>
        <v>26020.26629778745</v>
      </c>
      <c r="V9" s="206">
        <f>'6.EBenefits'!X75</f>
        <v>26020.26629778745</v>
      </c>
      <c r="W9" s="206">
        <f>'6.EBenefits'!Y75</f>
        <v>26020.26629778745</v>
      </c>
      <c r="X9" s="206">
        <f>'6.EBenefits'!Z75</f>
        <v>26020.26629778745</v>
      </c>
      <c r="Y9" s="206">
        <f>'6.EBenefits'!AA75</f>
        <v>26020.26629778745</v>
      </c>
      <c r="Z9" s="206">
        <f>'6.EBenefits'!AB75</f>
        <v>26020.26629778745</v>
      </c>
      <c r="AA9" s="206">
        <f>'6.EBenefits'!AC75</f>
        <v>26020.26629778745</v>
      </c>
      <c r="AB9" s="206">
        <f>'6.EBenefits'!AD75</f>
        <v>26020.26629778745</v>
      </c>
      <c r="AC9" s="206">
        <f>'6.EBenefits'!AE75</f>
        <v>26020.26629778745</v>
      </c>
      <c r="AD9" s="206">
        <f>'6.EBenefits'!AF75</f>
        <v>26020.26629778745</v>
      </c>
      <c r="AE9" s="206">
        <f>'6.EBenefits'!AG75</f>
        <v>26020.26629778745</v>
      </c>
      <c r="AF9" s="206">
        <f>'6.EBenefits'!AH75</f>
        <v>26020.26629778745</v>
      </c>
      <c r="AG9" s="206">
        <f>'6.EBenefits'!AI75</f>
        <v>26020.26629778745</v>
      </c>
      <c r="AH9" s="80"/>
    </row>
    <row r="10" spans="1:34" x14ac:dyDescent="0.55000000000000004">
      <c r="B10" s="20" t="s">
        <v>40</v>
      </c>
      <c r="C10" s="57">
        <f t="shared" si="1"/>
        <v>1608858.7581070436</v>
      </c>
      <c r="D10" s="57">
        <f>'6.EBenefits'!F$20</f>
        <v>0</v>
      </c>
      <c r="E10" s="57">
        <f>'6.EBenefits'!G$20</f>
        <v>0</v>
      </c>
      <c r="F10" s="57">
        <f>'6.EBenefits'!H$20</f>
        <v>0</v>
      </c>
      <c r="G10" s="207">
        <f>'6.EBenefits'!I$20</f>
        <v>13798.003114463492</v>
      </c>
      <c r="H10" s="207">
        <f>'6.EBenefits'!J$20</f>
        <v>16555.027079444993</v>
      </c>
      <c r="I10" s="207">
        <f>'6.EBenefits'!K$20</f>
        <v>32510.981194536529</v>
      </c>
      <c r="J10" s="207">
        <f>'6.EBenefits'!L$24</f>
        <v>64416.447779941605</v>
      </c>
      <c r="K10" s="207">
        <f>'6.EBenefits'!M$24</f>
        <v>64416.447779941605</v>
      </c>
      <c r="L10" s="207">
        <f>'6.EBenefits'!N$24</f>
        <v>64416.447779941605</v>
      </c>
      <c r="M10" s="207">
        <f>'6.EBenefits'!O$24</f>
        <v>64416.447779941605</v>
      </c>
      <c r="N10" s="207">
        <f>'6.EBenefits'!P$24</f>
        <v>64416.447779941605</v>
      </c>
      <c r="O10" s="207">
        <f>'6.EBenefits'!Q$24</f>
        <v>64416.447779941605</v>
      </c>
      <c r="P10" s="207">
        <f>'6.EBenefits'!R$24</f>
        <v>64416.447779941605</v>
      </c>
      <c r="Q10" s="207">
        <f>'6.EBenefits'!S$24</f>
        <v>64416.447779941605</v>
      </c>
      <c r="R10" s="207">
        <f>'6.EBenefits'!T$24</f>
        <v>64416.447779941605</v>
      </c>
      <c r="S10" s="207">
        <f>'6.EBenefits'!U$24</f>
        <v>64416.447779941605</v>
      </c>
      <c r="T10" s="207">
        <f>'6.EBenefits'!V$24</f>
        <v>64416.447779941605</v>
      </c>
      <c r="U10" s="207">
        <f>'6.EBenefits'!W$24</f>
        <v>64416.447779941605</v>
      </c>
      <c r="V10" s="207">
        <f>'6.EBenefits'!X$24</f>
        <v>64416.447779941605</v>
      </c>
      <c r="W10" s="207">
        <f>'6.EBenefits'!Y$24</f>
        <v>64416.447779941605</v>
      </c>
      <c r="X10" s="207">
        <f>'6.EBenefits'!Z$24</f>
        <v>64416.447779941605</v>
      </c>
      <c r="Y10" s="207">
        <f>'6.EBenefits'!AA$24</f>
        <v>64416.447779941605</v>
      </c>
      <c r="Z10" s="207">
        <f>'6.EBenefits'!AB$24</f>
        <v>64416.447779941605</v>
      </c>
      <c r="AA10" s="207">
        <f>'6.EBenefits'!AC$24</f>
        <v>64416.447779941605</v>
      </c>
      <c r="AB10" s="207">
        <f>'6.EBenefits'!AD$24</f>
        <v>64416.447779941605</v>
      </c>
      <c r="AC10" s="207">
        <f>'6.EBenefits'!AE$24</f>
        <v>64416.447779941605</v>
      </c>
      <c r="AD10" s="207">
        <f>'6.EBenefits'!AF$24</f>
        <v>64416.447779941605</v>
      </c>
      <c r="AE10" s="207">
        <f>'6.EBenefits'!AG$24</f>
        <v>64416.447779941605</v>
      </c>
      <c r="AF10" s="207">
        <f>'6.EBenefits'!AH$24</f>
        <v>64416.447779941605</v>
      </c>
      <c r="AG10" s="207">
        <f>'6.EBenefits'!AI$24</f>
        <v>64416.447779941605</v>
      </c>
      <c r="AH10" s="57"/>
    </row>
    <row r="11" spans="1:34" x14ac:dyDescent="0.55000000000000004">
      <c r="B11" s="20" t="s">
        <v>130</v>
      </c>
      <c r="C11" s="57">
        <f t="shared" si="1"/>
        <v>1109.6001466499999</v>
      </c>
      <c r="D11" s="57">
        <f>'6.EBenefits'!F$38</f>
        <v>0</v>
      </c>
      <c r="E11" s="57">
        <f>'6.EBenefits'!G$38</f>
        <v>0</v>
      </c>
      <c r="F11" s="57">
        <f>'6.EBenefits'!H$38</f>
        <v>0</v>
      </c>
      <c r="G11" s="231">
        <f>'6.EBenefits'!I$38</f>
        <v>9.5162277</v>
      </c>
      <c r="H11" s="231">
        <f>'6.EBenefits'!J$38</f>
        <v>11.417696166666667</v>
      </c>
      <c r="I11" s="231">
        <f>'6.EBenefits'!K$38</f>
        <v>22.422222783333336</v>
      </c>
      <c r="J11" s="208">
        <f>'6.EBenefits'!L$42</f>
        <v>44.426833333333335</v>
      </c>
      <c r="K11" s="208">
        <f>'6.EBenefits'!M$42</f>
        <v>44.426833333333335</v>
      </c>
      <c r="L11" s="208">
        <f>'6.EBenefits'!N$42</f>
        <v>44.426833333333335</v>
      </c>
      <c r="M11" s="208">
        <f>'6.EBenefits'!O$42</f>
        <v>44.426833333333335</v>
      </c>
      <c r="N11" s="208">
        <f>'6.EBenefits'!P$42</f>
        <v>44.426833333333335</v>
      </c>
      <c r="O11" s="208">
        <f>'6.EBenefits'!Q$42</f>
        <v>44.426833333333335</v>
      </c>
      <c r="P11" s="208">
        <f>'6.EBenefits'!R$42</f>
        <v>44.426833333333335</v>
      </c>
      <c r="Q11" s="208">
        <f>'6.EBenefits'!S$42</f>
        <v>44.426833333333335</v>
      </c>
      <c r="R11" s="208">
        <f>'6.EBenefits'!T$42</f>
        <v>44.426833333333335</v>
      </c>
      <c r="S11" s="208">
        <f>'6.EBenefits'!U$42</f>
        <v>44.426833333333335</v>
      </c>
      <c r="T11" s="208">
        <f>'6.EBenefits'!V$42</f>
        <v>44.426833333333335</v>
      </c>
      <c r="U11" s="208">
        <f>'6.EBenefits'!W$42</f>
        <v>44.426833333333335</v>
      </c>
      <c r="V11" s="208">
        <f>'6.EBenefits'!X$42</f>
        <v>44.426833333333335</v>
      </c>
      <c r="W11" s="208">
        <f>'6.EBenefits'!Y$42</f>
        <v>44.426833333333335</v>
      </c>
      <c r="X11" s="208">
        <f>'6.EBenefits'!Z$42</f>
        <v>44.426833333333335</v>
      </c>
      <c r="Y11" s="208">
        <f>'6.EBenefits'!AA$42</f>
        <v>44.426833333333335</v>
      </c>
      <c r="Z11" s="208">
        <f>'6.EBenefits'!AB$42</f>
        <v>44.426833333333335</v>
      </c>
      <c r="AA11" s="208">
        <f>'6.EBenefits'!AC$42</f>
        <v>44.426833333333335</v>
      </c>
      <c r="AB11" s="208">
        <f>'6.EBenefits'!AD$42</f>
        <v>44.426833333333335</v>
      </c>
      <c r="AC11" s="208">
        <f>'6.EBenefits'!AE$42</f>
        <v>44.426833333333335</v>
      </c>
      <c r="AD11" s="208">
        <f>'6.EBenefits'!AF$42</f>
        <v>44.426833333333335</v>
      </c>
      <c r="AE11" s="208">
        <f>'6.EBenefits'!AG$42</f>
        <v>44.426833333333335</v>
      </c>
      <c r="AF11" s="208">
        <f>'6.EBenefits'!AH$42</f>
        <v>44.426833333333335</v>
      </c>
      <c r="AG11" s="208">
        <f>'6.EBenefits'!AI$42</f>
        <v>44.426833333333335</v>
      </c>
      <c r="AH11" s="57"/>
    </row>
    <row r="12" spans="1:34" x14ac:dyDescent="0.55000000000000004">
      <c r="B12" s="22" t="s">
        <v>3</v>
      </c>
      <c r="C12" s="59">
        <f>SUM(D12:AG12)</f>
        <v>2082612.5290197337</v>
      </c>
      <c r="D12" s="51">
        <f>D8-D4</f>
        <v>-14361.74703283342</v>
      </c>
      <c r="E12" s="51">
        <f t="shared" ref="E12:AF12" si="2">E8-E4</f>
        <v>-25883.619611786584</v>
      </c>
      <c r="F12" s="51">
        <f t="shared" si="2"/>
        <v>-42844.562476075931</v>
      </c>
      <c r="G12" s="51">
        <f t="shared" si="2"/>
        <v>-16527.751811695878</v>
      </c>
      <c r="H12" s="51">
        <f t="shared" si="2"/>
        <v>-7120.9937082369906</v>
      </c>
      <c r="I12" s="51">
        <f t="shared" si="2"/>
        <v>28155.12614269105</v>
      </c>
      <c r="J12" s="51">
        <f t="shared" si="2"/>
        <v>90049.836563236313</v>
      </c>
      <c r="K12" s="51">
        <f t="shared" si="2"/>
        <v>90049.836563236313</v>
      </c>
      <c r="L12" s="51">
        <f t="shared" si="2"/>
        <v>90049.836563236313</v>
      </c>
      <c r="M12" s="51">
        <f t="shared" si="2"/>
        <v>90049.836563236313</v>
      </c>
      <c r="N12" s="51">
        <f t="shared" si="2"/>
        <v>90049.836563236313</v>
      </c>
      <c r="O12" s="51">
        <f t="shared" si="2"/>
        <v>90049.836563236313</v>
      </c>
      <c r="P12" s="51">
        <f t="shared" si="2"/>
        <v>90049.836563236313</v>
      </c>
      <c r="Q12" s="51">
        <f t="shared" si="2"/>
        <v>90049.836563236313</v>
      </c>
      <c r="R12" s="51">
        <f t="shared" si="2"/>
        <v>90049.836563236313</v>
      </c>
      <c r="S12" s="51">
        <f t="shared" si="2"/>
        <v>90049.836563236313</v>
      </c>
      <c r="T12" s="51">
        <f t="shared" si="2"/>
        <v>90049.836563236313</v>
      </c>
      <c r="U12" s="51">
        <f t="shared" si="2"/>
        <v>90049.836563236313</v>
      </c>
      <c r="V12" s="51">
        <f t="shared" si="2"/>
        <v>90049.836563236313</v>
      </c>
      <c r="W12" s="51">
        <f t="shared" si="2"/>
        <v>90049.836563236313</v>
      </c>
      <c r="X12" s="51">
        <f t="shared" si="2"/>
        <v>90049.836563236313</v>
      </c>
      <c r="Y12" s="51">
        <f t="shared" si="2"/>
        <v>90049.836563236313</v>
      </c>
      <c r="Z12" s="51">
        <f t="shared" si="2"/>
        <v>90049.836563236313</v>
      </c>
      <c r="AA12" s="51">
        <f t="shared" si="2"/>
        <v>90049.836563236313</v>
      </c>
      <c r="AB12" s="51">
        <f t="shared" si="2"/>
        <v>90049.836563236313</v>
      </c>
      <c r="AC12" s="51">
        <f t="shared" si="2"/>
        <v>90049.836563236313</v>
      </c>
      <c r="AD12" s="51">
        <f t="shared" si="2"/>
        <v>90049.836563236313</v>
      </c>
      <c r="AE12" s="51">
        <f t="shared" si="2"/>
        <v>90049.836563236313</v>
      </c>
      <c r="AF12" s="51">
        <f t="shared" si="2"/>
        <v>90049.836563236313</v>
      </c>
      <c r="AG12" s="51">
        <f>AG8-AG4-AH7</f>
        <v>90049.836563236313</v>
      </c>
      <c r="AH12" s="51"/>
    </row>
    <row r="13" spans="1:34" x14ac:dyDescent="0.55000000000000004">
      <c r="B13" s="10"/>
    </row>
    <row r="14" spans="1:34" x14ac:dyDescent="0.55000000000000004">
      <c r="B14" t="str">
        <f>"Economic Discount Rate ("&amp;TEXT('1.Params_8.Sensitivity'!D13,"0%")&amp;")"</f>
        <v>Economic Discount Rate (12%)</v>
      </c>
      <c r="C14" s="39" t="s">
        <v>142</v>
      </c>
      <c r="D14" s="2">
        <f>1/(1+'1.Params_8.Sensitivity'!$D$12)^D3</f>
        <v>0.89285714285714279</v>
      </c>
      <c r="E14" s="2">
        <f>1/(1+'1.Params_8.Sensitivity'!$D$12)^E3</f>
        <v>0.79719387755102034</v>
      </c>
      <c r="F14" s="2">
        <f>1/(1+'1.Params_8.Sensitivity'!$D$12)^F3</f>
        <v>0.71178024781341087</v>
      </c>
      <c r="G14" s="2">
        <f>1/(1+'1.Params_8.Sensitivity'!$D$12)^G3</f>
        <v>0.63551807840483121</v>
      </c>
      <c r="H14" s="2">
        <f>1/(1+'1.Params_8.Sensitivity'!$D$12)^H3</f>
        <v>0.56742685571859919</v>
      </c>
      <c r="I14" s="2">
        <f>1/(1+'1.Params_8.Sensitivity'!$D$12)^I3</f>
        <v>0.50663112117732068</v>
      </c>
      <c r="J14" s="2">
        <f>1/(1+'1.Params_8.Sensitivity'!$D$12)^J3</f>
        <v>0.45234921533689343</v>
      </c>
      <c r="K14" s="2">
        <f>1/(1+'1.Params_8.Sensitivity'!$D$12)^K3</f>
        <v>0.4038832279793691</v>
      </c>
      <c r="L14" s="2">
        <f>1/(1+'1.Params_8.Sensitivity'!$D$12)^L3</f>
        <v>0.36061002498157957</v>
      </c>
      <c r="M14" s="2">
        <f>1/(1+'1.Params_8.Sensitivity'!$D$12)^M3</f>
        <v>0.32197323659069599</v>
      </c>
      <c r="N14" s="2">
        <f>1/(1+'1.Params_8.Sensitivity'!$D$12)^N3</f>
        <v>0.28747610409883567</v>
      </c>
      <c r="O14" s="2">
        <f>1/(1+'1.Params_8.Sensitivity'!$D$12)^O3</f>
        <v>0.25667509294538904</v>
      </c>
      <c r="P14" s="2">
        <f>1/(1+'1.Params_8.Sensitivity'!$D$12)^P3</f>
        <v>0.22917419012981158</v>
      </c>
      <c r="Q14" s="2">
        <f>1/(1+'1.Params_8.Sensitivity'!$D$12)^Q3</f>
        <v>0.20461981261590317</v>
      </c>
      <c r="R14" s="2">
        <f>1/(1+'1.Params_8.Sensitivity'!$D$12)^R3</f>
        <v>0.18269626126419927</v>
      </c>
      <c r="S14" s="2">
        <f>1/(1+'1.Params_8.Sensitivity'!$D$12)^S3</f>
        <v>0.16312166184303503</v>
      </c>
      <c r="T14" s="2">
        <f>1/(1+'1.Params_8.Sensitivity'!$D$12)^T3</f>
        <v>0.14564434093128129</v>
      </c>
      <c r="U14" s="2">
        <f>1/(1+'1.Params_8.Sensitivity'!$D$12)^U3</f>
        <v>0.13003959011721541</v>
      </c>
      <c r="V14" s="2">
        <f>1/(1+'1.Params_8.Sensitivity'!$D$12)^V3</f>
        <v>0.1161067768903709</v>
      </c>
      <c r="W14" s="2">
        <f>1/(1+'1.Params_8.Sensitivity'!$D$12)^W3</f>
        <v>0.1036667650806883</v>
      </c>
      <c r="X14" s="2">
        <f>1/(1+'1.Params_8.Sensitivity'!$D$12)^X3</f>
        <v>9.2559611679185971E-2</v>
      </c>
      <c r="Y14" s="2">
        <f>1/(1+'1.Params_8.Sensitivity'!$D$12)^Y3</f>
        <v>8.2642510427844609E-2</v>
      </c>
      <c r="Z14" s="2">
        <f>1/(1+'1.Params_8.Sensitivity'!$D$12)^Z3</f>
        <v>7.3787955739146982E-2</v>
      </c>
      <c r="AA14" s="2">
        <f>1/(1+'1.Params_8.Sensitivity'!$D$12)^AA3</f>
        <v>6.5882103338524081E-2</v>
      </c>
      <c r="AB14" s="2">
        <f>1/(1+'1.Params_8.Sensitivity'!$D$12)^AB3</f>
        <v>5.8823306552253637E-2</v>
      </c>
      <c r="AC14" s="2">
        <f>1/(1+'1.Params_8.Sensitivity'!$D$12)^AC3</f>
        <v>5.2520809421655032E-2</v>
      </c>
      <c r="AD14" s="2">
        <f>1/(1+'1.Params_8.Sensitivity'!$D$12)^AD3</f>
        <v>4.6893579840763415E-2</v>
      </c>
      <c r="AE14" s="2">
        <f>1/(1+'1.Params_8.Sensitivity'!$D$12)^AE3</f>
        <v>4.1869267714967337E-2</v>
      </c>
      <c r="AF14" s="2">
        <f>1/(1+'1.Params_8.Sensitivity'!$D$12)^AF3</f>
        <v>3.7383274745506546E-2</v>
      </c>
      <c r="AG14" s="2">
        <f>1/(1+'1.Params_8.Sensitivity'!$D$12)^AG3</f>
        <v>3.3377923879916553E-2</v>
      </c>
      <c r="AH14" s="2"/>
    </row>
    <row r="16" spans="1:34" x14ac:dyDescent="0.55000000000000004">
      <c r="B16" s="412" t="s">
        <v>148</v>
      </c>
      <c r="C16" s="412" t="s">
        <v>24</v>
      </c>
      <c r="D16" s="417" t="s">
        <v>0</v>
      </c>
      <c r="E16" s="417"/>
      <c r="F16" s="417"/>
      <c r="G16" s="417"/>
      <c r="H16" s="417"/>
      <c r="I16" s="417"/>
      <c r="J16" s="417"/>
      <c r="K16" s="417"/>
      <c r="L16" s="417"/>
      <c r="M16" s="417"/>
      <c r="N16" s="417"/>
      <c r="O16" s="417"/>
      <c r="P16" s="417"/>
      <c r="Q16" s="417"/>
      <c r="R16" s="417"/>
      <c r="S16" s="417"/>
      <c r="T16" s="417"/>
      <c r="U16" s="417"/>
      <c r="V16" s="417"/>
      <c r="W16" s="417"/>
      <c r="X16" s="417"/>
      <c r="Y16" s="417"/>
      <c r="Z16" s="417"/>
      <c r="AA16" s="417"/>
      <c r="AB16" s="417"/>
      <c r="AC16" s="417"/>
      <c r="AD16" s="417"/>
      <c r="AE16" s="417"/>
      <c r="AF16" s="417"/>
      <c r="AG16" s="417"/>
      <c r="AH16" s="412" t="s">
        <v>30</v>
      </c>
    </row>
    <row r="17" spans="1:34" x14ac:dyDescent="0.55000000000000004">
      <c r="B17" s="413"/>
      <c r="C17" s="413"/>
      <c r="D17" s="11">
        <v>1</v>
      </c>
      <c r="E17" s="11">
        <v>2</v>
      </c>
      <c r="F17" s="11">
        <v>3</v>
      </c>
      <c r="G17" s="11">
        <v>4</v>
      </c>
      <c r="H17" s="11">
        <v>5</v>
      </c>
      <c r="I17" s="11">
        <v>6</v>
      </c>
      <c r="J17" s="83">
        <v>7</v>
      </c>
      <c r="K17" s="83">
        <v>8</v>
      </c>
      <c r="L17" s="83">
        <v>9</v>
      </c>
      <c r="M17" s="83">
        <v>10</v>
      </c>
      <c r="N17" s="83">
        <v>11</v>
      </c>
      <c r="O17" s="83">
        <v>12</v>
      </c>
      <c r="P17" s="83">
        <v>13</v>
      </c>
      <c r="Q17" s="83">
        <v>14</v>
      </c>
      <c r="R17" s="83">
        <v>15</v>
      </c>
      <c r="S17" s="83">
        <v>16</v>
      </c>
      <c r="T17" s="83">
        <v>17</v>
      </c>
      <c r="U17" s="83">
        <v>18</v>
      </c>
      <c r="V17" s="83">
        <v>19</v>
      </c>
      <c r="W17" s="83">
        <v>20</v>
      </c>
      <c r="X17" s="83">
        <v>21</v>
      </c>
      <c r="Y17" s="83">
        <v>22</v>
      </c>
      <c r="Z17" s="83">
        <v>23</v>
      </c>
      <c r="AA17" s="83">
        <v>24</v>
      </c>
      <c r="AB17" s="83">
        <v>25</v>
      </c>
      <c r="AC17" s="83">
        <v>26</v>
      </c>
      <c r="AD17" s="83">
        <v>27</v>
      </c>
      <c r="AE17" s="83">
        <v>28</v>
      </c>
      <c r="AF17" s="83">
        <v>29</v>
      </c>
      <c r="AG17" s="83">
        <v>30</v>
      </c>
      <c r="AH17" s="413"/>
    </row>
    <row r="18" spans="1:34" x14ac:dyDescent="0.55000000000000004">
      <c r="B18" s="19" t="s">
        <v>1</v>
      </c>
      <c r="C18" s="60">
        <f>SUM(D18:AG18)+C21</f>
        <v>114581.69098509177</v>
      </c>
      <c r="D18" s="61">
        <f>D4*D$14</f>
        <v>12822.988422172695</v>
      </c>
      <c r="E18" s="61">
        <f t="shared" ref="E18:AG18" si="3">E4*E$14</f>
        <v>20634.263083375783</v>
      </c>
      <c r="F18" s="61">
        <f t="shared" si="3"/>
        <v>30495.913296678489</v>
      </c>
      <c r="G18" s="61">
        <f t="shared" si="3"/>
        <v>22820.699323868146</v>
      </c>
      <c r="H18" s="61">
        <f t="shared" si="3"/>
        <v>17235.390396728726</v>
      </c>
      <c r="I18" s="61">
        <f t="shared" si="3"/>
        <v>8871.4684487932009</v>
      </c>
      <c r="J18" s="61">
        <f t="shared" si="3"/>
        <v>195.100183310521</v>
      </c>
      <c r="K18" s="61">
        <f t="shared" si="3"/>
        <v>174.19659224153659</v>
      </c>
      <c r="L18" s="61">
        <f t="shared" si="3"/>
        <v>155.53267164422911</v>
      </c>
      <c r="M18" s="61">
        <f t="shared" si="3"/>
        <v>138.86845682520453</v>
      </c>
      <c r="N18" s="61">
        <f t="shared" si="3"/>
        <v>123.98969359393261</v>
      </c>
      <c r="O18" s="61">
        <f t="shared" si="3"/>
        <v>110.70508356601128</v>
      </c>
      <c r="P18" s="61">
        <f t="shared" si="3"/>
        <v>98.843824612510048</v>
      </c>
      <c r="Q18" s="61">
        <f t="shared" si="3"/>
        <v>88.253414832598253</v>
      </c>
      <c r="R18" s="61">
        <f t="shared" si="3"/>
        <v>78.797691814819871</v>
      </c>
      <c r="S18" s="61">
        <f t="shared" si="3"/>
        <v>70.355081977517727</v>
      </c>
      <c r="T18" s="61">
        <f t="shared" si="3"/>
        <v>62.81703747992654</v>
      </c>
      <c r="U18" s="61">
        <f t="shared" si="3"/>
        <v>56.086640607077264</v>
      </c>
      <c r="V18" s="61">
        <f t="shared" si="3"/>
        <v>50.077357684890409</v>
      </c>
      <c r="W18" s="61">
        <f t="shared" si="3"/>
        <v>44.711926504366438</v>
      </c>
      <c r="X18" s="61">
        <f t="shared" si="3"/>
        <v>39.921362950327172</v>
      </c>
      <c r="Y18" s="61">
        <f t="shared" si="3"/>
        <v>35.644074062792114</v>
      </c>
      <c r="Z18" s="61">
        <f t="shared" si="3"/>
        <v>31.825066127492963</v>
      </c>
      <c r="AA18" s="61">
        <f t="shared" si="3"/>
        <v>28.415237613832996</v>
      </c>
      <c r="AB18" s="61">
        <f t="shared" si="3"/>
        <v>25.370747869493744</v>
      </c>
      <c r="AC18" s="61">
        <f t="shared" si="3"/>
        <v>22.652453454905128</v>
      </c>
      <c r="AD18" s="61">
        <f t="shared" si="3"/>
        <v>20.225404870451005</v>
      </c>
      <c r="AE18" s="61">
        <f t="shared" si="3"/>
        <v>18.058397205759828</v>
      </c>
      <c r="AF18" s="61">
        <f t="shared" si="3"/>
        <v>16.123568933714129</v>
      </c>
      <c r="AG18" s="61">
        <f t="shared" si="3"/>
        <v>14.396043690816184</v>
      </c>
      <c r="AH18" s="61"/>
    </row>
    <row r="19" spans="1:34" x14ac:dyDescent="0.55000000000000004">
      <c r="B19" s="20" t="s">
        <v>158</v>
      </c>
      <c r="C19" s="57">
        <f t="shared" ref="C19:C25" si="4">SUM(D19:AG19)</f>
        <v>112648.83072206799</v>
      </c>
      <c r="D19" s="57">
        <f t="shared" ref="D19:I19" si="5">D5*D$14</f>
        <v>12822.988422172695</v>
      </c>
      <c r="E19" s="57">
        <f t="shared" si="5"/>
        <v>20634.263083375783</v>
      </c>
      <c r="F19" s="57">
        <f t="shared" si="5"/>
        <v>30495.913296678489</v>
      </c>
      <c r="G19" s="57">
        <f t="shared" si="5"/>
        <v>22761.986737513726</v>
      </c>
      <c r="H19" s="57">
        <f t="shared" si="5"/>
        <v>17172.493843552933</v>
      </c>
      <c r="I19" s="57">
        <f t="shared" si="5"/>
        <v>8761.1853387743631</v>
      </c>
      <c r="J19" s="331" t="s">
        <v>31</v>
      </c>
      <c r="K19" s="331" t="s">
        <v>31</v>
      </c>
      <c r="L19" s="331" t="s">
        <v>31</v>
      </c>
      <c r="M19" s="331" t="s">
        <v>31</v>
      </c>
      <c r="N19" s="331" t="s">
        <v>31</v>
      </c>
      <c r="O19" s="331" t="s">
        <v>31</v>
      </c>
      <c r="P19" s="331" t="s">
        <v>31</v>
      </c>
      <c r="Q19" s="331" t="s">
        <v>31</v>
      </c>
      <c r="R19" s="331" t="s">
        <v>31</v>
      </c>
      <c r="S19" s="331" t="s">
        <v>31</v>
      </c>
      <c r="T19" s="331" t="s">
        <v>31</v>
      </c>
      <c r="U19" s="331" t="s">
        <v>31</v>
      </c>
      <c r="V19" s="331" t="s">
        <v>31</v>
      </c>
      <c r="W19" s="331" t="s">
        <v>31</v>
      </c>
      <c r="X19" s="331" t="s">
        <v>31</v>
      </c>
      <c r="Y19" s="331" t="s">
        <v>31</v>
      </c>
      <c r="Z19" s="331" t="s">
        <v>31</v>
      </c>
      <c r="AA19" s="331" t="s">
        <v>31</v>
      </c>
      <c r="AB19" s="331" t="s">
        <v>31</v>
      </c>
      <c r="AC19" s="331" t="s">
        <v>31</v>
      </c>
      <c r="AD19" s="331" t="s">
        <v>31</v>
      </c>
      <c r="AE19" s="331" t="s">
        <v>31</v>
      </c>
      <c r="AF19" s="331" t="s">
        <v>31</v>
      </c>
      <c r="AG19" s="331" t="s">
        <v>31</v>
      </c>
      <c r="AH19" s="57"/>
    </row>
    <row r="20" spans="1:34" x14ac:dyDescent="0.55000000000000004">
      <c r="B20" s="20" t="s">
        <v>159</v>
      </c>
      <c r="C20" s="57">
        <f>SUM(D20:AG20)</f>
        <v>1932.8602630237749</v>
      </c>
      <c r="D20" s="57">
        <f t="shared" ref="D20:AG20" si="6">D6*D$14</f>
        <v>0</v>
      </c>
      <c r="E20" s="57">
        <f t="shared" si="6"/>
        <v>0</v>
      </c>
      <c r="F20" s="57">
        <f t="shared" si="6"/>
        <v>0</v>
      </c>
      <c r="G20" s="57">
        <f t="shared" si="6"/>
        <v>58.712586354417539</v>
      </c>
      <c r="H20" s="57">
        <f t="shared" si="6"/>
        <v>62.89655317579242</v>
      </c>
      <c r="I20" s="57">
        <f t="shared" si="6"/>
        <v>110.28311001883837</v>
      </c>
      <c r="J20" s="57">
        <f t="shared" si="6"/>
        <v>195.100183310521</v>
      </c>
      <c r="K20" s="57">
        <f t="shared" si="6"/>
        <v>174.19659224153659</v>
      </c>
      <c r="L20" s="57">
        <f t="shared" si="6"/>
        <v>155.53267164422911</v>
      </c>
      <c r="M20" s="57">
        <f t="shared" si="6"/>
        <v>138.86845682520453</v>
      </c>
      <c r="N20" s="57">
        <f t="shared" si="6"/>
        <v>123.98969359393261</v>
      </c>
      <c r="O20" s="57">
        <f t="shared" si="6"/>
        <v>110.70508356601128</v>
      </c>
      <c r="P20" s="57">
        <f t="shared" si="6"/>
        <v>98.843824612510048</v>
      </c>
      <c r="Q20" s="57">
        <f t="shared" si="6"/>
        <v>88.253414832598253</v>
      </c>
      <c r="R20" s="57">
        <f t="shared" si="6"/>
        <v>78.797691814819871</v>
      </c>
      <c r="S20" s="57">
        <f t="shared" si="6"/>
        <v>70.355081977517727</v>
      </c>
      <c r="T20" s="57">
        <f t="shared" si="6"/>
        <v>62.81703747992654</v>
      </c>
      <c r="U20" s="57">
        <f t="shared" si="6"/>
        <v>56.086640607077264</v>
      </c>
      <c r="V20" s="57">
        <f t="shared" si="6"/>
        <v>50.077357684890409</v>
      </c>
      <c r="W20" s="57">
        <f t="shared" si="6"/>
        <v>44.711926504366438</v>
      </c>
      <c r="X20" s="57">
        <f t="shared" si="6"/>
        <v>39.921362950327172</v>
      </c>
      <c r="Y20" s="57">
        <f t="shared" si="6"/>
        <v>35.644074062792114</v>
      </c>
      <c r="Z20" s="57">
        <f t="shared" si="6"/>
        <v>31.825066127492963</v>
      </c>
      <c r="AA20" s="57">
        <f t="shared" si="6"/>
        <v>28.415237613832996</v>
      </c>
      <c r="AB20" s="57">
        <f t="shared" si="6"/>
        <v>25.370747869493744</v>
      </c>
      <c r="AC20" s="57">
        <f t="shared" si="6"/>
        <v>22.652453454905128</v>
      </c>
      <c r="AD20" s="57">
        <f t="shared" si="6"/>
        <v>20.225404870451005</v>
      </c>
      <c r="AE20" s="57">
        <f t="shared" si="6"/>
        <v>18.058397205759828</v>
      </c>
      <c r="AF20" s="57">
        <f t="shared" si="6"/>
        <v>16.123568933714129</v>
      </c>
      <c r="AG20" s="57">
        <f t="shared" si="6"/>
        <v>14.396043690816184</v>
      </c>
      <c r="AH20" s="57"/>
    </row>
    <row r="21" spans="1:34" x14ac:dyDescent="0.55000000000000004">
      <c r="B21" s="20" t="s">
        <v>160</v>
      </c>
      <c r="C21" s="57">
        <f>AH21</f>
        <v>0</v>
      </c>
      <c r="D21" s="331" t="s">
        <v>31</v>
      </c>
      <c r="E21" s="331" t="s">
        <v>31</v>
      </c>
      <c r="F21" s="331" t="s">
        <v>31</v>
      </c>
      <c r="G21" s="331" t="s">
        <v>31</v>
      </c>
      <c r="H21" s="331" t="s">
        <v>31</v>
      </c>
      <c r="I21" s="331" t="s">
        <v>31</v>
      </c>
      <c r="J21" s="331" t="s">
        <v>31</v>
      </c>
      <c r="K21" s="331" t="s">
        <v>31</v>
      </c>
      <c r="L21" s="331" t="s">
        <v>31</v>
      </c>
      <c r="M21" s="331" t="s">
        <v>31</v>
      </c>
      <c r="N21" s="331" t="s">
        <v>31</v>
      </c>
      <c r="O21" s="331" t="s">
        <v>31</v>
      </c>
      <c r="P21" s="331" t="s">
        <v>31</v>
      </c>
      <c r="Q21" s="331" t="s">
        <v>31</v>
      </c>
      <c r="R21" s="331" t="s">
        <v>31</v>
      </c>
      <c r="S21" s="331" t="s">
        <v>31</v>
      </c>
      <c r="T21" s="331" t="s">
        <v>31</v>
      </c>
      <c r="U21" s="331" t="s">
        <v>31</v>
      </c>
      <c r="V21" s="331" t="s">
        <v>31</v>
      </c>
      <c r="W21" s="331" t="s">
        <v>31</v>
      </c>
      <c r="X21" s="331" t="s">
        <v>31</v>
      </c>
      <c r="Y21" s="331" t="s">
        <v>31</v>
      </c>
      <c r="Z21" s="331" t="s">
        <v>31</v>
      </c>
      <c r="AA21" s="331" t="s">
        <v>31</v>
      </c>
      <c r="AB21" s="331" t="s">
        <v>31</v>
      </c>
      <c r="AC21" s="331" t="s">
        <v>31</v>
      </c>
      <c r="AD21" s="331" t="s">
        <v>31</v>
      </c>
      <c r="AE21" s="331" t="s">
        <v>31</v>
      </c>
      <c r="AF21" s="331" t="s">
        <v>31</v>
      </c>
      <c r="AG21" s="331" t="s">
        <v>31</v>
      </c>
      <c r="AH21" s="57">
        <f>AH7*AG14</f>
        <v>0</v>
      </c>
    </row>
    <row r="22" spans="1:34" x14ac:dyDescent="0.55000000000000004">
      <c r="B22" s="21" t="s">
        <v>2</v>
      </c>
      <c r="C22" s="58">
        <f t="shared" si="4"/>
        <v>405484.90341341618</v>
      </c>
      <c r="D22" s="57">
        <f>D8*D$14</f>
        <v>0</v>
      </c>
      <c r="E22" s="57">
        <f t="shared" ref="E22:AG22" si="7">E8*E$14</f>
        <v>0</v>
      </c>
      <c r="F22" s="57">
        <f t="shared" si="7"/>
        <v>0</v>
      </c>
      <c r="G22" s="57">
        <f t="shared" si="7"/>
        <v>12317.014252147213</v>
      </c>
      <c r="H22" s="57">
        <f t="shared" si="7"/>
        <v>13194.747327271882</v>
      </c>
      <c r="I22" s="57">
        <f t="shared" si="7"/>
        <v>23135.73157335366</v>
      </c>
      <c r="J22" s="57">
        <f t="shared" si="7"/>
        <v>40929.073093905958</v>
      </c>
      <c r="K22" s="57">
        <f t="shared" si="7"/>
        <v>36543.815262416036</v>
      </c>
      <c r="L22" s="57">
        <f t="shared" si="7"/>
        <v>32628.406484300031</v>
      </c>
      <c r="M22" s="57">
        <f t="shared" si="7"/>
        <v>29132.505789553594</v>
      </c>
      <c r="N22" s="57">
        <f t="shared" si="7"/>
        <v>26011.165883529993</v>
      </c>
      <c r="O22" s="57">
        <f t="shared" si="7"/>
        <v>23224.255253151783</v>
      </c>
      <c r="P22" s="57">
        <f t="shared" si="7"/>
        <v>20735.942190314086</v>
      </c>
      <c r="Q22" s="57">
        <f t="shared" si="7"/>
        <v>18514.234098494719</v>
      </c>
      <c r="R22" s="57">
        <f t="shared" si="7"/>
        <v>16530.566159370286</v>
      </c>
      <c r="S22" s="57">
        <f t="shared" si="7"/>
        <v>14759.434070866322</v>
      </c>
      <c r="T22" s="57">
        <f t="shared" si="7"/>
        <v>13178.066134702074</v>
      </c>
      <c r="U22" s="57">
        <f t="shared" si="7"/>
        <v>11766.130477412564</v>
      </c>
      <c r="V22" s="57">
        <f t="shared" si="7"/>
        <v>10505.473640546932</v>
      </c>
      <c r="W22" s="57">
        <f t="shared" si="7"/>
        <v>9379.8871790597605</v>
      </c>
      <c r="X22" s="57">
        <f t="shared" si="7"/>
        <v>8374.8992670176431</v>
      </c>
      <c r="Y22" s="57">
        <f t="shared" si="7"/>
        <v>7477.5886312657512</v>
      </c>
      <c r="Z22" s="57">
        <f t="shared" si="7"/>
        <v>6676.4184207729932</v>
      </c>
      <c r="AA22" s="57">
        <f t="shared" si="7"/>
        <v>5961.0878756901711</v>
      </c>
      <c r="AB22" s="57">
        <f t="shared" si="7"/>
        <v>5322.3998890090816</v>
      </c>
      <c r="AC22" s="57">
        <f t="shared" si="7"/>
        <v>4752.1427580438221</v>
      </c>
      <c r="AD22" s="57">
        <f t="shared" si="7"/>
        <v>4242.9846053962692</v>
      </c>
      <c r="AE22" s="57">
        <f t="shared" si="7"/>
        <v>3788.379111960955</v>
      </c>
      <c r="AF22" s="57">
        <f t="shared" si="7"/>
        <v>3382.4813499651382</v>
      </c>
      <c r="AG22" s="57">
        <f t="shared" si="7"/>
        <v>3020.0726338974441</v>
      </c>
      <c r="AH22" s="57"/>
    </row>
    <row r="23" spans="1:34" s="77" customFormat="1" x14ac:dyDescent="0.55000000000000004">
      <c r="A23"/>
      <c r="B23" s="20" t="s">
        <v>129</v>
      </c>
      <c r="C23" s="57">
        <f t="shared" si="4"/>
        <v>116608.00317405975</v>
      </c>
      <c r="D23" s="57">
        <f>D9*D$14</f>
        <v>0</v>
      </c>
      <c r="E23" s="57">
        <f t="shared" ref="E23:AG23" si="8">E9*E$14</f>
        <v>0</v>
      </c>
      <c r="F23" s="57">
        <f t="shared" si="8"/>
        <v>0</v>
      </c>
      <c r="G23" s="57">
        <f t="shared" si="8"/>
        <v>3542.0860922779307</v>
      </c>
      <c r="H23" s="57">
        <f t="shared" si="8"/>
        <v>3794.5016578107411</v>
      </c>
      <c r="I23" s="57">
        <f t="shared" si="8"/>
        <v>6653.2969243228226</v>
      </c>
      <c r="J23" s="57">
        <f t="shared" si="8"/>
        <v>11770.247042661165</v>
      </c>
      <c r="K23" s="57">
        <f t="shared" si="8"/>
        <v>10509.149145233183</v>
      </c>
      <c r="L23" s="57">
        <f t="shared" si="8"/>
        <v>9383.1688796724848</v>
      </c>
      <c r="M23" s="57">
        <f t="shared" si="8"/>
        <v>8377.8293568504323</v>
      </c>
      <c r="N23" s="57">
        <f t="shared" si="8"/>
        <v>7480.2047829021703</v>
      </c>
      <c r="O23" s="57">
        <f t="shared" si="8"/>
        <v>6678.7542704483676</v>
      </c>
      <c r="P23" s="57">
        <f t="shared" si="8"/>
        <v>5963.1734557574691</v>
      </c>
      <c r="Q23" s="57">
        <f t="shared" si="8"/>
        <v>5324.2620140691688</v>
      </c>
      <c r="R23" s="57">
        <f t="shared" si="8"/>
        <v>4753.8053697046153</v>
      </c>
      <c r="S23" s="57">
        <f t="shared" si="8"/>
        <v>4244.4690800934059</v>
      </c>
      <c r="T23" s="57">
        <f t="shared" si="8"/>
        <v>3789.7045357976835</v>
      </c>
      <c r="U23" s="57">
        <f t="shared" si="8"/>
        <v>3383.664764105074</v>
      </c>
      <c r="V23" s="57">
        <f t="shared" si="8"/>
        <v>3021.1292536652445</v>
      </c>
      <c r="W23" s="57">
        <f t="shared" si="8"/>
        <v>2697.4368336296825</v>
      </c>
      <c r="X23" s="57">
        <f t="shared" si="8"/>
        <v>2408.4257443122165</v>
      </c>
      <c r="Y23" s="57">
        <f t="shared" si="8"/>
        <v>2150.3801288501932</v>
      </c>
      <c r="Z23" s="57">
        <f t="shared" si="8"/>
        <v>1919.9822579019583</v>
      </c>
      <c r="AA23" s="57">
        <f t="shared" si="8"/>
        <v>1714.2698731267483</v>
      </c>
      <c r="AB23" s="57">
        <f t="shared" si="8"/>
        <v>1530.598101006025</v>
      </c>
      <c r="AC23" s="57">
        <f t="shared" si="8"/>
        <v>1366.605447326808</v>
      </c>
      <c r="AD23" s="57">
        <f t="shared" si="8"/>
        <v>1220.1834351132213</v>
      </c>
      <c r="AE23" s="57">
        <f t="shared" si="8"/>
        <v>1089.4494956368048</v>
      </c>
      <c r="AF23" s="57">
        <f t="shared" si="8"/>
        <v>972.72276396143275</v>
      </c>
      <c r="AG23" s="57">
        <f t="shared" si="8"/>
        <v>868.50246782270756</v>
      </c>
      <c r="AH23" s="80"/>
    </row>
    <row r="24" spans="1:34" x14ac:dyDescent="0.55000000000000004">
      <c r="B24" s="20" t="s">
        <v>40</v>
      </c>
      <c r="C24" s="57">
        <f t="shared" si="4"/>
        <v>288677.8044936381</v>
      </c>
      <c r="D24" s="57">
        <f>D10*D$14</f>
        <v>0</v>
      </c>
      <c r="E24" s="57">
        <f t="shared" ref="E24:AG24" si="9">E10*E$14</f>
        <v>0</v>
      </c>
      <c r="F24" s="57">
        <f t="shared" si="9"/>
        <v>0</v>
      </c>
      <c r="G24" s="57">
        <f t="shared" si="9"/>
        <v>8768.8804251277143</v>
      </c>
      <c r="H24" s="57">
        <f t="shared" si="9"/>
        <v>9393.7669620257366</v>
      </c>
      <c r="I24" s="57">
        <f t="shared" si="9"/>
        <v>16471.074853162831</v>
      </c>
      <c r="J24" s="57">
        <f t="shared" si="9"/>
        <v>29138.729608046557</v>
      </c>
      <c r="K24" s="57">
        <f t="shared" si="9"/>
        <v>26016.722864327279</v>
      </c>
      <c r="L24" s="57">
        <f t="shared" si="9"/>
        <v>23229.216843149359</v>
      </c>
      <c r="M24" s="57">
        <f t="shared" si="9"/>
        <v>20740.372181383351</v>
      </c>
      <c r="N24" s="57">
        <f t="shared" si="9"/>
        <v>18518.189447663706</v>
      </c>
      <c r="O24" s="57">
        <f t="shared" si="9"/>
        <v>16534.09772112831</v>
      </c>
      <c r="P24" s="57">
        <f t="shared" si="9"/>
        <v>14762.587251007417</v>
      </c>
      <c r="Q24" s="57">
        <f t="shared" si="9"/>
        <v>13180.881474113763</v>
      </c>
      <c r="R24" s="57">
        <f t="shared" si="9"/>
        <v>11768.644173315861</v>
      </c>
      <c r="S24" s="57">
        <f t="shared" si="9"/>
        <v>10507.718011889159</v>
      </c>
      <c r="T24" s="57">
        <f t="shared" si="9"/>
        <v>9381.8910820438923</v>
      </c>
      <c r="U24" s="57">
        <f t="shared" si="9"/>
        <v>8376.6884661106178</v>
      </c>
      <c r="V24" s="57">
        <f t="shared" si="9"/>
        <v>7479.1861304559079</v>
      </c>
      <c r="W24" s="57">
        <f t="shared" si="9"/>
        <v>6677.8447593356314</v>
      </c>
      <c r="X24" s="57">
        <f t="shared" si="9"/>
        <v>5962.3613922639561</v>
      </c>
      <c r="Y24" s="57">
        <f t="shared" si="9"/>
        <v>5323.536957378532</v>
      </c>
      <c r="Z24" s="57">
        <f t="shared" si="9"/>
        <v>4753.1579976594039</v>
      </c>
      <c r="AA24" s="57">
        <f t="shared" si="9"/>
        <v>4243.8910693387534</v>
      </c>
      <c r="AB24" s="57">
        <f t="shared" si="9"/>
        <v>3789.1884547667432</v>
      </c>
      <c r="AC24" s="57">
        <f t="shared" si="9"/>
        <v>3383.2039774703067</v>
      </c>
      <c r="AD24" s="57">
        <f t="shared" si="9"/>
        <v>3020.717837027059</v>
      </c>
      <c r="AE24" s="57">
        <f t="shared" si="9"/>
        <v>2697.0694973455884</v>
      </c>
      <c r="AF24" s="57">
        <f t="shared" si="9"/>
        <v>2408.0977654871322</v>
      </c>
      <c r="AG24" s="57">
        <f t="shared" si="9"/>
        <v>2150.0872906135105</v>
      </c>
      <c r="AH24" s="57"/>
    </row>
    <row r="25" spans="1:34" x14ac:dyDescent="0.55000000000000004">
      <c r="B25" s="20" t="s">
        <v>130</v>
      </c>
      <c r="C25" s="57">
        <f t="shared" si="4"/>
        <v>199.09574571830061</v>
      </c>
      <c r="D25" s="57">
        <f>D11*D$14</f>
        <v>0</v>
      </c>
      <c r="E25" s="57">
        <f t="shared" ref="E25:AG25" si="10">E11*E$14</f>
        <v>0</v>
      </c>
      <c r="F25" s="57">
        <f t="shared" si="10"/>
        <v>0</v>
      </c>
      <c r="G25" s="57">
        <f t="shared" si="10"/>
        <v>6.0477347415668268</v>
      </c>
      <c r="H25" s="57">
        <f t="shared" si="10"/>
        <v>6.4787074354019705</v>
      </c>
      <c r="I25" s="57">
        <f t="shared" si="10"/>
        <v>11.359795868007831</v>
      </c>
      <c r="J25" s="57">
        <f t="shared" si="10"/>
        <v>20.096443198236276</v>
      </c>
      <c r="K25" s="57">
        <f t="shared" si="10"/>
        <v>17.943252855568101</v>
      </c>
      <c r="L25" s="57">
        <f t="shared" si="10"/>
        <v>16.020761478185804</v>
      </c>
      <c r="M25" s="57">
        <f t="shared" si="10"/>
        <v>14.304251319808753</v>
      </c>
      <c r="N25" s="57">
        <f t="shared" si="10"/>
        <v>12.771652964114956</v>
      </c>
      <c r="O25" s="57">
        <f t="shared" si="10"/>
        <v>11.403261575102642</v>
      </c>
      <c r="P25" s="57">
        <f t="shared" si="10"/>
        <v>10.181483549198784</v>
      </c>
      <c r="Q25" s="57">
        <f t="shared" si="10"/>
        <v>9.0906103117846282</v>
      </c>
      <c r="R25" s="57">
        <f t="shared" si="10"/>
        <v>8.1166163498077033</v>
      </c>
      <c r="S25" s="57">
        <f t="shared" si="10"/>
        <v>7.2469788837568769</v>
      </c>
      <c r="T25" s="57">
        <f t="shared" si="10"/>
        <v>6.4705168604972121</v>
      </c>
      <c r="U25" s="57">
        <f t="shared" si="10"/>
        <v>5.7772471968725094</v>
      </c>
      <c r="V25" s="57">
        <f t="shared" si="10"/>
        <v>5.158256425779026</v>
      </c>
      <c r="W25" s="57">
        <f t="shared" si="10"/>
        <v>4.6055860944455587</v>
      </c>
      <c r="X25" s="57">
        <f t="shared" si="10"/>
        <v>4.1121304414692483</v>
      </c>
      <c r="Y25" s="57">
        <f t="shared" si="10"/>
        <v>3.6715450370261147</v>
      </c>
      <c r="Z25" s="57">
        <f t="shared" si="10"/>
        <v>3.2781652116304598</v>
      </c>
      <c r="AA25" s="57">
        <f t="shared" si="10"/>
        <v>2.9269332246700528</v>
      </c>
      <c r="AB25" s="57">
        <f t="shared" si="10"/>
        <v>2.6133332363125472</v>
      </c>
      <c r="AC25" s="57">
        <f t="shared" si="10"/>
        <v>2.3333332467076313</v>
      </c>
      <c r="AD25" s="57">
        <f t="shared" si="10"/>
        <v>2.0833332559889564</v>
      </c>
      <c r="AE25" s="57">
        <f t="shared" si="10"/>
        <v>1.8601189785615682</v>
      </c>
      <c r="AF25" s="57">
        <f t="shared" si="10"/>
        <v>1.6608205165728285</v>
      </c>
      <c r="AG25" s="57">
        <f t="shared" si="10"/>
        <v>1.4828754612257393</v>
      </c>
      <c r="AH25" s="57"/>
    </row>
    <row r="26" spans="1:34" x14ac:dyDescent="0.55000000000000004">
      <c r="B26" s="22" t="s">
        <v>3</v>
      </c>
      <c r="C26" s="59">
        <f>SUM(D26:AG26)</f>
        <v>290903.21242832439</v>
      </c>
      <c r="D26" s="51">
        <f>D12*D$14</f>
        <v>-12822.988422172695</v>
      </c>
      <c r="E26" s="51">
        <f t="shared" ref="E26:AF26" si="11">E12*E$14</f>
        <v>-20634.263083375783</v>
      </c>
      <c r="F26" s="51">
        <f t="shared" si="11"/>
        <v>-30495.913296678489</v>
      </c>
      <c r="G26" s="51">
        <f t="shared" si="11"/>
        <v>-10503.685071720933</v>
      </c>
      <c r="H26" s="51">
        <f t="shared" si="11"/>
        <v>-4040.6430694568435</v>
      </c>
      <c r="I26" s="51">
        <f t="shared" si="11"/>
        <v>14264.263124560459</v>
      </c>
      <c r="J26" s="51">
        <f t="shared" si="11"/>
        <v>40733.972910595439</v>
      </c>
      <c r="K26" s="51">
        <f t="shared" si="11"/>
        <v>36369.618670174495</v>
      </c>
      <c r="L26" s="51">
        <f t="shared" si="11"/>
        <v>32472.873812655806</v>
      </c>
      <c r="M26" s="51">
        <f t="shared" si="11"/>
        <v>28993.637332728391</v>
      </c>
      <c r="N26" s="51">
        <f t="shared" si="11"/>
        <v>25887.176189936061</v>
      </c>
      <c r="O26" s="51">
        <f t="shared" si="11"/>
        <v>23113.550169585771</v>
      </c>
      <c r="P26" s="51">
        <f t="shared" si="11"/>
        <v>20637.098365701579</v>
      </c>
      <c r="Q26" s="51">
        <f t="shared" si="11"/>
        <v>18425.980683662121</v>
      </c>
      <c r="R26" s="51">
        <f t="shared" si="11"/>
        <v>16451.768467555466</v>
      </c>
      <c r="S26" s="51">
        <f t="shared" si="11"/>
        <v>14689.078988888807</v>
      </c>
      <c r="T26" s="51">
        <f t="shared" si="11"/>
        <v>13115.249097222149</v>
      </c>
      <c r="U26" s="51">
        <f t="shared" si="11"/>
        <v>11710.043836805487</v>
      </c>
      <c r="V26" s="51">
        <f t="shared" si="11"/>
        <v>10455.396282862042</v>
      </c>
      <c r="W26" s="51">
        <f t="shared" si="11"/>
        <v>9335.1752525553948</v>
      </c>
      <c r="X26" s="51">
        <f t="shared" si="11"/>
        <v>8334.9779040673166</v>
      </c>
      <c r="Y26" s="51">
        <f t="shared" si="11"/>
        <v>7441.9445572029599</v>
      </c>
      <c r="Z26" s="51">
        <f t="shared" si="11"/>
        <v>6644.5933546455008</v>
      </c>
      <c r="AA26" s="51">
        <f t="shared" si="11"/>
        <v>5932.6726380763394</v>
      </c>
      <c r="AB26" s="51">
        <f t="shared" si="11"/>
        <v>5297.0291411395874</v>
      </c>
      <c r="AC26" s="51">
        <f t="shared" si="11"/>
        <v>4729.4903045889178</v>
      </c>
      <c r="AD26" s="51">
        <f t="shared" si="11"/>
        <v>4222.7592005258184</v>
      </c>
      <c r="AE26" s="51">
        <f t="shared" si="11"/>
        <v>3770.3207147551952</v>
      </c>
      <c r="AF26" s="51">
        <f t="shared" si="11"/>
        <v>3366.3577810314241</v>
      </c>
      <c r="AG26" s="51">
        <f>AG12*AG$14</f>
        <v>3005.6765902066281</v>
      </c>
      <c r="AH26" s="51"/>
    </row>
    <row r="28" spans="1:34" ht="20" x14ac:dyDescent="0.6">
      <c r="B28" s="106" t="s">
        <v>43</v>
      </c>
      <c r="C28" s="107">
        <f>NPV('1.Params_8.Sensitivity'!D13,'7a.EAnalysis'!D12:AG12)</f>
        <v>290903.21242832433</v>
      </c>
      <c r="D28" s="135" t="s">
        <v>110</v>
      </c>
      <c r="E28" s="55">
        <f>C22-C18</f>
        <v>290903.21242832439</v>
      </c>
    </row>
    <row r="29" spans="1:34" ht="20" x14ac:dyDescent="0.6">
      <c r="B29" s="106" t="s">
        <v>45</v>
      </c>
      <c r="C29" s="109">
        <f>NPV('1.Params_8.Sensitivity'!D13,'7a.EAnalysis'!D8:AG8)/NPV('1.Params_8.Sensitivity'!D13,'7a.EAnalysis'!D4:AF4, (AG4+AH7))</f>
        <v>3.5388280616854706</v>
      </c>
      <c r="E29" s="86">
        <f>C22/C18</f>
        <v>3.5388280616854733</v>
      </c>
    </row>
    <row r="30" spans="1:34" ht="20" x14ac:dyDescent="0.6">
      <c r="B30" s="106" t="s">
        <v>44</v>
      </c>
      <c r="C30" s="108">
        <f>IFERROR(IRR(D12:AG12), "        n/a")</f>
        <v>0.34323815501412058</v>
      </c>
    </row>
  </sheetData>
  <sheetProtection sheet="1" objects="1" scenarios="1"/>
  <mergeCells count="8">
    <mergeCell ref="AH2:AH3"/>
    <mergeCell ref="AH16:AH17"/>
    <mergeCell ref="B2:B3"/>
    <mergeCell ref="C2:C3"/>
    <mergeCell ref="D2:AG2"/>
    <mergeCell ref="B16:B17"/>
    <mergeCell ref="C16:C17"/>
    <mergeCell ref="D16:AG16"/>
  </mergeCells>
  <phoneticPr fontId="4"/>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D00B2-C44D-40C7-AE9A-9D5A0005A06A}">
  <sheetPr codeName="Sheet11">
    <tabColor theme="5" tint="0.59999389629810485"/>
  </sheetPr>
  <dimension ref="A1:Z39"/>
  <sheetViews>
    <sheetView zoomScale="70" zoomScaleNormal="70" workbookViewId="0">
      <pane xSplit="1" ySplit="1" topLeftCell="B2" activePane="bottomRight" state="frozen"/>
      <selection pane="topRight" activeCell="B1" sqref="B1"/>
      <selection pane="bottomLeft" activeCell="A2" sqref="A2"/>
      <selection pane="bottomRight"/>
    </sheetView>
  </sheetViews>
  <sheetFormatPr defaultRowHeight="18" x14ac:dyDescent="0.55000000000000004"/>
  <cols>
    <col min="1" max="1" width="2.58203125" customWidth="1"/>
    <col min="2" max="2" width="6.58203125" customWidth="1"/>
    <col min="3" max="3" width="4.58203125" customWidth="1"/>
    <col min="4" max="12" width="12.75" customWidth="1"/>
    <col min="13" max="13" width="1.58203125" customWidth="1"/>
    <col min="14" max="14" width="12.75" customWidth="1"/>
    <col min="15" max="15" width="1.58203125" customWidth="1"/>
    <col min="16" max="16" width="6.58203125" customWidth="1"/>
    <col min="17" max="17" width="4.58203125" customWidth="1"/>
    <col min="18" max="26" width="12.75" customWidth="1"/>
  </cols>
  <sheetData>
    <row r="1" spans="1:26" s="3" customFormat="1" ht="20" x14ac:dyDescent="0.6">
      <c r="A1" s="5" t="str">
        <f>"Cash Flows of Economic Costs and Benefits ("&amp;MID('0.Contents'!A1,20,(LEN('0.Contents'!A1)-20))&amp;")----Vertical format"</f>
        <v>Cash Flows of Economic Costs and Benefits (Power Transmission)----Vertical format</v>
      </c>
    </row>
    <row r="2" spans="1:26" x14ac:dyDescent="0.55000000000000004">
      <c r="B2" s="417" t="s">
        <v>272</v>
      </c>
      <c r="C2" s="417"/>
      <c r="D2" s="417"/>
      <c r="E2" s="417"/>
      <c r="F2" s="417"/>
      <c r="G2" s="417"/>
      <c r="H2" s="417"/>
      <c r="I2" s="417"/>
      <c r="J2" s="417"/>
      <c r="K2" s="417"/>
      <c r="L2" s="417"/>
      <c r="M2" s="250"/>
      <c r="N2" s="250"/>
      <c r="O2" s="250"/>
      <c r="P2" s="417" t="s">
        <v>273</v>
      </c>
      <c r="Q2" s="417"/>
      <c r="R2" s="417"/>
      <c r="S2" s="417"/>
      <c r="T2" s="417"/>
      <c r="U2" s="417"/>
      <c r="V2" s="417"/>
      <c r="W2" s="417"/>
      <c r="X2" s="417"/>
      <c r="Y2" s="417"/>
      <c r="Z2" s="417"/>
    </row>
    <row r="3" spans="1:26" s="254" customFormat="1" ht="90" x14ac:dyDescent="0.55000000000000004">
      <c r="B3" s="255"/>
      <c r="C3" s="255"/>
      <c r="D3" s="256" t="s">
        <v>1</v>
      </c>
      <c r="E3" s="257" t="s">
        <v>158</v>
      </c>
      <c r="F3" s="257" t="s">
        <v>159</v>
      </c>
      <c r="G3" s="257" t="s">
        <v>160</v>
      </c>
      <c r="H3" s="256" t="s">
        <v>2</v>
      </c>
      <c r="I3" s="257" t="s">
        <v>201</v>
      </c>
      <c r="J3" s="257" t="s">
        <v>40</v>
      </c>
      <c r="K3" s="257" t="s">
        <v>130</v>
      </c>
      <c r="L3" s="256" t="s">
        <v>3</v>
      </c>
      <c r="M3" s="258"/>
      <c r="N3" s="259" t="str">
        <f>'7a.EAnalysis'!B14</f>
        <v>Economic Discount Rate (12%)</v>
      </c>
      <c r="O3" s="258"/>
      <c r="P3" s="255"/>
      <c r="Q3" s="255"/>
      <c r="R3" s="256" t="s">
        <v>1</v>
      </c>
      <c r="S3" s="257" t="s">
        <v>158</v>
      </c>
      <c r="T3" s="257" t="s">
        <v>159</v>
      </c>
      <c r="U3" s="257" t="s">
        <v>160</v>
      </c>
      <c r="V3" s="256" t="s">
        <v>2</v>
      </c>
      <c r="W3" s="257" t="s">
        <v>129</v>
      </c>
      <c r="X3" s="257" t="s">
        <v>40</v>
      </c>
      <c r="Y3" s="257" t="s">
        <v>130</v>
      </c>
      <c r="Z3" s="256" t="s">
        <v>3</v>
      </c>
    </row>
    <row r="4" spans="1:26" x14ac:dyDescent="0.55000000000000004">
      <c r="B4" s="419" t="s">
        <v>24</v>
      </c>
      <c r="C4" s="419"/>
      <c r="D4" s="63">
        <f>'7a.EAnalysis'!C$4</f>
        <v>177235.39826086949</v>
      </c>
      <c r="E4" s="54">
        <f>'7a.EAnalysis'!C$5</f>
        <v>166463.18400000007</v>
      </c>
      <c r="F4" s="54">
        <f>'7a.EAnalysis'!C$6</f>
        <v>10772.214260869569</v>
      </c>
      <c r="G4" s="54">
        <f>'7a.EAnalysis'!C$7</f>
        <v>0</v>
      </c>
      <c r="H4" s="63">
        <f>'7a.EAnalysis'!C$8</f>
        <v>2259847.9272806039</v>
      </c>
      <c r="I4" s="54">
        <f>'7a.EAnalysis'!C$9</f>
        <v>649879.5690269093</v>
      </c>
      <c r="J4" s="54">
        <f>'7a.EAnalysis'!C$10</f>
        <v>1608858.7581070436</v>
      </c>
      <c r="K4" s="54">
        <f>'7a.EAnalysis'!C$11</f>
        <v>1109.6001466499999</v>
      </c>
      <c r="L4" s="63">
        <f>'7a.EAnalysis'!C$12</f>
        <v>2082612.5290197337</v>
      </c>
      <c r="M4" s="63"/>
      <c r="N4" s="275" t="str">
        <f>'7a.EAnalysis'!C$14</f>
        <v>DF</v>
      </c>
      <c r="O4" s="63"/>
      <c r="P4" s="419" t="s">
        <v>24</v>
      </c>
      <c r="Q4" s="419"/>
      <c r="R4" s="63">
        <f>'7a.EAnalysis'!C$18</f>
        <v>114581.69098509177</v>
      </c>
      <c r="S4" s="54">
        <f>'7a.EAnalysis'!C$19</f>
        <v>112648.83072206799</v>
      </c>
      <c r="T4" s="54">
        <f>'7a.EAnalysis'!C$20</f>
        <v>1932.8602630237749</v>
      </c>
      <c r="U4" s="54">
        <f>'7a.EAnalysis'!C$21</f>
        <v>0</v>
      </c>
      <c r="V4" s="63">
        <f>'7a.EAnalysis'!C$22</f>
        <v>405484.90341341618</v>
      </c>
      <c r="W4" s="54">
        <f>'7a.EAnalysis'!C$23</f>
        <v>116608.00317405975</v>
      </c>
      <c r="X4" s="54">
        <f>'7a.EAnalysis'!C$24</f>
        <v>288677.8044936381</v>
      </c>
      <c r="Y4" s="54">
        <f>'7a.EAnalysis'!C$25</f>
        <v>199.09574571830061</v>
      </c>
      <c r="Z4" s="63">
        <f>'7a.EAnalysis'!C$26</f>
        <v>290903.21242832439</v>
      </c>
    </row>
    <row r="5" spans="1:26" x14ac:dyDescent="0.55000000000000004">
      <c r="B5" s="420" t="s">
        <v>0</v>
      </c>
      <c r="C5" s="260">
        <v>1</v>
      </c>
      <c r="D5" s="80">
        <f>'7a.EAnalysis'!D$4</f>
        <v>14361.74703283342</v>
      </c>
      <c r="E5" s="204">
        <f>'7a.EAnalysis'!D$5</f>
        <v>14361.74703283342</v>
      </c>
      <c r="F5" s="57">
        <f>'7a.EAnalysis'!D$6</f>
        <v>0</v>
      </c>
      <c r="G5" s="331" t="s">
        <v>31</v>
      </c>
      <c r="H5" s="80">
        <f>'7a.EAnalysis'!D$8</f>
        <v>0</v>
      </c>
      <c r="I5" s="273">
        <f>'7a.EAnalysis'!D$9</f>
        <v>0</v>
      </c>
      <c r="J5" s="57">
        <f>'7a.EAnalysis'!D$10</f>
        <v>0</v>
      </c>
      <c r="K5" s="57">
        <f>'7a.EAnalysis'!D$11</f>
        <v>0</v>
      </c>
      <c r="L5" s="80">
        <f>'7a.EAnalysis'!D$12</f>
        <v>-14361.74703283342</v>
      </c>
      <c r="M5" s="80"/>
      <c r="N5" s="272">
        <f>'7a.EAnalysis'!D$14</f>
        <v>0.89285714285714279</v>
      </c>
      <c r="O5" s="80"/>
      <c r="P5" s="421" t="s">
        <v>0</v>
      </c>
      <c r="Q5" s="260">
        <v>1</v>
      </c>
      <c r="R5" s="80">
        <f>'7a.EAnalysis'!D$18</f>
        <v>12822.988422172695</v>
      </c>
      <c r="S5" s="57">
        <f>'7a.EAnalysis'!D$19</f>
        <v>12822.988422172695</v>
      </c>
      <c r="T5" s="57">
        <f>'7a.EAnalysis'!D$20</f>
        <v>0</v>
      </c>
      <c r="U5" s="331" t="s">
        <v>31</v>
      </c>
      <c r="V5" s="80">
        <f>'7a.EAnalysis'!D$22</f>
        <v>0</v>
      </c>
      <c r="W5" s="80">
        <f>'7a.EAnalysis'!D$23</f>
        <v>0</v>
      </c>
      <c r="X5" s="80">
        <f>'7a.EAnalysis'!D$24</f>
        <v>0</v>
      </c>
      <c r="Y5" s="80">
        <f>'7a.EAnalysis'!D$25</f>
        <v>0</v>
      </c>
      <c r="Z5" s="80">
        <f>'7a.EAnalysis'!D$26</f>
        <v>-12822.988422172695</v>
      </c>
    </row>
    <row r="6" spans="1:26" x14ac:dyDescent="0.55000000000000004">
      <c r="B6" s="420"/>
      <c r="C6" s="260">
        <v>2</v>
      </c>
      <c r="D6" s="80">
        <f>'7a.EAnalysis'!E$4</f>
        <v>25883.619611786584</v>
      </c>
      <c r="E6" s="204">
        <f>'7a.EAnalysis'!E$5</f>
        <v>25883.619611786584</v>
      </c>
      <c r="F6" s="57">
        <f>'7a.EAnalysis'!E$6</f>
        <v>0</v>
      </c>
      <c r="G6" s="331" t="s">
        <v>31</v>
      </c>
      <c r="H6" s="80">
        <f>'7a.EAnalysis'!E$8</f>
        <v>0</v>
      </c>
      <c r="I6" s="273">
        <f>'7a.EAnalysis'!E$9</f>
        <v>0</v>
      </c>
      <c r="J6" s="57">
        <f>'7a.EAnalysis'!E$10</f>
        <v>0</v>
      </c>
      <c r="K6" s="57">
        <f>'7a.EAnalysis'!E$11</f>
        <v>0</v>
      </c>
      <c r="L6" s="80">
        <f>'7a.EAnalysis'!E$12</f>
        <v>-25883.619611786584</v>
      </c>
      <c r="M6" s="80"/>
      <c r="N6" s="272">
        <f>'7a.EAnalysis'!E$14</f>
        <v>0.79719387755102034</v>
      </c>
      <c r="O6" s="80"/>
      <c r="P6" s="420"/>
      <c r="Q6" s="260">
        <v>2</v>
      </c>
      <c r="R6" s="80">
        <f>'7a.EAnalysis'!E$18</f>
        <v>20634.263083375783</v>
      </c>
      <c r="S6" s="57">
        <f>'7a.EAnalysis'!E$19</f>
        <v>20634.263083375783</v>
      </c>
      <c r="T6" s="57">
        <f>'7a.EAnalysis'!E$20</f>
        <v>0</v>
      </c>
      <c r="U6" s="331" t="s">
        <v>31</v>
      </c>
      <c r="V6" s="80">
        <f>'7a.EAnalysis'!E$22</f>
        <v>0</v>
      </c>
      <c r="W6" s="80">
        <f>'7a.EAnalysis'!E$23</f>
        <v>0</v>
      </c>
      <c r="X6" s="80">
        <f>'7a.EAnalysis'!E$24</f>
        <v>0</v>
      </c>
      <c r="Y6" s="80">
        <f>'7a.EAnalysis'!E$25</f>
        <v>0</v>
      </c>
      <c r="Z6" s="80">
        <f>'7a.EAnalysis'!E$26</f>
        <v>-20634.263083375783</v>
      </c>
    </row>
    <row r="7" spans="1:26" x14ac:dyDescent="0.55000000000000004">
      <c r="B7" s="420"/>
      <c r="C7" s="260">
        <v>3</v>
      </c>
      <c r="D7" s="80">
        <f>'7a.EAnalysis'!F$4</f>
        <v>42844.562476075931</v>
      </c>
      <c r="E7" s="204">
        <f>'7a.EAnalysis'!F$5</f>
        <v>42844.562476075931</v>
      </c>
      <c r="F7" s="57">
        <f>'7a.EAnalysis'!F$6</f>
        <v>0</v>
      </c>
      <c r="G7" s="331" t="s">
        <v>31</v>
      </c>
      <c r="H7" s="80">
        <f>'7a.EAnalysis'!F$8</f>
        <v>0</v>
      </c>
      <c r="I7" s="273">
        <f>'7a.EAnalysis'!F$9</f>
        <v>0</v>
      </c>
      <c r="J7" s="57">
        <f>'7a.EAnalysis'!F$10</f>
        <v>0</v>
      </c>
      <c r="K7" s="57">
        <f>'7a.EAnalysis'!F$11</f>
        <v>0</v>
      </c>
      <c r="L7" s="80">
        <f>'7a.EAnalysis'!F$12</f>
        <v>-42844.562476075931</v>
      </c>
      <c r="M7" s="80"/>
      <c r="N7" s="272">
        <f>'7a.EAnalysis'!F$14</f>
        <v>0.71178024781341087</v>
      </c>
      <c r="O7" s="80"/>
      <c r="P7" s="420"/>
      <c r="Q7" s="260">
        <v>3</v>
      </c>
      <c r="R7" s="80">
        <f>'7a.EAnalysis'!F$18</f>
        <v>30495.913296678489</v>
      </c>
      <c r="S7" s="57">
        <f>'7a.EAnalysis'!F$19</f>
        <v>30495.913296678489</v>
      </c>
      <c r="T7" s="57">
        <f>'7a.EAnalysis'!F$20</f>
        <v>0</v>
      </c>
      <c r="U7" s="331" t="s">
        <v>31</v>
      </c>
      <c r="V7" s="80">
        <f>'7a.EAnalysis'!F$22</f>
        <v>0</v>
      </c>
      <c r="W7" s="80">
        <f>'7a.EAnalysis'!F$23</f>
        <v>0</v>
      </c>
      <c r="X7" s="80">
        <f>'7a.EAnalysis'!F$24</f>
        <v>0</v>
      </c>
      <c r="Y7" s="80">
        <f>'7a.EAnalysis'!F$25</f>
        <v>0</v>
      </c>
      <c r="Z7" s="80">
        <f>'7a.EAnalysis'!F$26</f>
        <v>-30495.913296678489</v>
      </c>
    </row>
    <row r="8" spans="1:26" x14ac:dyDescent="0.55000000000000004">
      <c r="B8" s="420"/>
      <c r="C8" s="260">
        <v>4</v>
      </c>
      <c r="D8" s="80">
        <f>'7a.EAnalysis'!G$4</f>
        <v>35908.812194845443</v>
      </c>
      <c r="E8" s="204">
        <f>'7a.EAnalysis'!G$5</f>
        <v>35816.426803541093</v>
      </c>
      <c r="F8" s="205">
        <f>'7a.EAnalysis'!G$6</f>
        <v>92.385391304347834</v>
      </c>
      <c r="G8" s="331" t="s">
        <v>31</v>
      </c>
      <c r="H8" s="80">
        <f>'7a.EAnalysis'!G$8</f>
        <v>19381.060383149565</v>
      </c>
      <c r="I8" s="273">
        <f>'7a.EAnalysis'!G$9</f>
        <v>5573.5410409860715</v>
      </c>
      <c r="J8" s="207">
        <f>'7a.EAnalysis'!G$10</f>
        <v>13798.003114463492</v>
      </c>
      <c r="K8" s="231">
        <f>'7a.EAnalysis'!G$11</f>
        <v>9.5162277</v>
      </c>
      <c r="L8" s="80">
        <f>'7a.EAnalysis'!G$12</f>
        <v>-16527.751811695878</v>
      </c>
      <c r="M8" s="80"/>
      <c r="N8" s="272">
        <f>'7a.EAnalysis'!G$14</f>
        <v>0.63551807840483121</v>
      </c>
      <c r="O8" s="80"/>
      <c r="P8" s="420"/>
      <c r="Q8" s="260">
        <v>4</v>
      </c>
      <c r="R8" s="80">
        <f>'7a.EAnalysis'!G$18</f>
        <v>22820.699323868146</v>
      </c>
      <c r="S8" s="57">
        <f>'7a.EAnalysis'!G$19</f>
        <v>22761.986737513726</v>
      </c>
      <c r="T8" s="57">
        <f>'7a.EAnalysis'!G$20</f>
        <v>58.712586354417539</v>
      </c>
      <c r="U8" s="331" t="s">
        <v>31</v>
      </c>
      <c r="V8" s="80">
        <f>'7a.EAnalysis'!G$22</f>
        <v>12317.014252147213</v>
      </c>
      <c r="W8" s="80">
        <f>'7a.EAnalysis'!G$23</f>
        <v>3542.0860922779307</v>
      </c>
      <c r="X8" s="80">
        <f>'7a.EAnalysis'!G$24</f>
        <v>8768.8804251277143</v>
      </c>
      <c r="Y8" s="80">
        <f>'7a.EAnalysis'!G$25</f>
        <v>6.0477347415668268</v>
      </c>
      <c r="Z8" s="80">
        <f>'7a.EAnalysis'!G$26</f>
        <v>-10503.685071720933</v>
      </c>
    </row>
    <row r="9" spans="1:26" x14ac:dyDescent="0.55000000000000004">
      <c r="B9" s="420"/>
      <c r="C9" s="260">
        <v>5</v>
      </c>
      <c r="D9" s="80">
        <f>'7a.EAnalysis'!H$4</f>
        <v>30374.646922380027</v>
      </c>
      <c r="E9" s="204">
        <f>'7a.EAnalysis'!H$5</f>
        <v>30263.801704988724</v>
      </c>
      <c r="F9" s="205">
        <f>'7a.EAnalysis'!H$6</f>
        <v>110.84521739130436</v>
      </c>
      <c r="G9" s="331" t="s">
        <v>31</v>
      </c>
      <c r="H9" s="80">
        <f>'7a.EAnalysis'!H$8</f>
        <v>23253.653214143036</v>
      </c>
      <c r="I9" s="273">
        <f>'7a.EAnalysis'!H$9</f>
        <v>6687.2084385313747</v>
      </c>
      <c r="J9" s="207">
        <f>'7a.EAnalysis'!H$10</f>
        <v>16555.027079444993</v>
      </c>
      <c r="K9" s="231">
        <f>'7a.EAnalysis'!H$11</f>
        <v>11.417696166666667</v>
      </c>
      <c r="L9" s="80">
        <f>'7a.EAnalysis'!H$12</f>
        <v>-7120.9937082369906</v>
      </c>
      <c r="M9" s="80"/>
      <c r="N9" s="272">
        <f>'7a.EAnalysis'!H$14</f>
        <v>0.56742685571859919</v>
      </c>
      <c r="O9" s="80"/>
      <c r="P9" s="420"/>
      <c r="Q9" s="260">
        <v>5</v>
      </c>
      <c r="R9" s="80">
        <f>'7a.EAnalysis'!H$18</f>
        <v>17235.390396728726</v>
      </c>
      <c r="S9" s="57">
        <f>'7a.EAnalysis'!H$19</f>
        <v>17172.493843552933</v>
      </c>
      <c r="T9" s="57">
        <f>'7a.EAnalysis'!H$20</f>
        <v>62.89655317579242</v>
      </c>
      <c r="U9" s="331" t="s">
        <v>31</v>
      </c>
      <c r="V9" s="80">
        <f>'7a.EAnalysis'!H$22</f>
        <v>13194.747327271882</v>
      </c>
      <c r="W9" s="80">
        <f>'7a.EAnalysis'!H$23</f>
        <v>3794.5016578107411</v>
      </c>
      <c r="X9" s="80">
        <f>'7a.EAnalysis'!H$24</f>
        <v>9393.7669620257366</v>
      </c>
      <c r="Y9" s="80">
        <f>'7a.EAnalysis'!H$25</f>
        <v>6.4787074354019705</v>
      </c>
      <c r="Z9" s="80">
        <f>'7a.EAnalysis'!H$26</f>
        <v>-4040.6430694568435</v>
      </c>
    </row>
    <row r="10" spans="1:26" x14ac:dyDescent="0.55000000000000004">
      <c r="B10" s="420"/>
      <c r="C10" s="260">
        <v>6</v>
      </c>
      <c r="D10" s="80">
        <f>'7a.EAnalysis'!I$4</f>
        <v>17510.705675122139</v>
      </c>
      <c r="E10" s="204">
        <f>'7a.EAnalysis'!I$5</f>
        <v>17293.026370774314</v>
      </c>
      <c r="F10" s="205">
        <f>'7a.EAnalysis'!I$6</f>
        <v>217.67930434782613</v>
      </c>
      <c r="G10" s="331" t="s">
        <v>31</v>
      </c>
      <c r="H10" s="80">
        <f>'7a.EAnalysis'!I$8</f>
        <v>45665.831817813189</v>
      </c>
      <c r="I10" s="273">
        <f>'7a.EAnalysis'!I$9</f>
        <v>13132.428400493327</v>
      </c>
      <c r="J10" s="207">
        <f>'7a.EAnalysis'!I$10</f>
        <v>32510.981194536529</v>
      </c>
      <c r="K10" s="231">
        <f>'7a.EAnalysis'!I$11</f>
        <v>22.422222783333336</v>
      </c>
      <c r="L10" s="80">
        <f>'7a.EAnalysis'!I$12</f>
        <v>28155.12614269105</v>
      </c>
      <c r="M10" s="80"/>
      <c r="N10" s="272">
        <f>'7a.EAnalysis'!I$14</f>
        <v>0.50663112117732068</v>
      </c>
      <c r="O10" s="80"/>
      <c r="P10" s="420"/>
      <c r="Q10" s="260">
        <v>6</v>
      </c>
      <c r="R10" s="80">
        <f>'7a.EAnalysis'!I$18</f>
        <v>8871.4684487932009</v>
      </c>
      <c r="S10" s="57">
        <f>'7a.EAnalysis'!I$19</f>
        <v>8761.1853387743631</v>
      </c>
      <c r="T10" s="57">
        <f>'7a.EAnalysis'!I$20</f>
        <v>110.28311001883837</v>
      </c>
      <c r="U10" s="331" t="s">
        <v>31</v>
      </c>
      <c r="V10" s="80">
        <f>'7a.EAnalysis'!I$22</f>
        <v>23135.73157335366</v>
      </c>
      <c r="W10" s="80">
        <f>'7a.EAnalysis'!I$23</f>
        <v>6653.2969243228226</v>
      </c>
      <c r="X10" s="80">
        <f>'7a.EAnalysis'!I$24</f>
        <v>16471.074853162831</v>
      </c>
      <c r="Y10" s="80">
        <f>'7a.EAnalysis'!I$25</f>
        <v>11.359795868007831</v>
      </c>
      <c r="Z10" s="80">
        <f>'7a.EAnalysis'!I$26</f>
        <v>14264.263124560459</v>
      </c>
    </row>
    <row r="11" spans="1:26" x14ac:dyDescent="0.55000000000000004">
      <c r="B11" s="420"/>
      <c r="C11" s="260">
        <v>7</v>
      </c>
      <c r="D11" s="80">
        <f>'7a.EAnalysis'!J$4</f>
        <v>431.304347826087</v>
      </c>
      <c r="E11" s="333" t="str">
        <f>'7a.EAnalysis'!J$5</f>
        <v>--</v>
      </c>
      <c r="F11" s="205">
        <f>'7a.EAnalysis'!J$6</f>
        <v>431.304347826087</v>
      </c>
      <c r="G11" s="331" t="s">
        <v>31</v>
      </c>
      <c r="H11" s="80">
        <f>'7a.EAnalysis'!J$8</f>
        <v>90481.140911062394</v>
      </c>
      <c r="I11" s="273">
        <f>'7a.EAnalysis'!J$9</f>
        <v>26020.26629778745</v>
      </c>
      <c r="J11" s="207">
        <f>'7a.EAnalysis'!J$10</f>
        <v>64416.447779941605</v>
      </c>
      <c r="K11" s="231">
        <f>'7a.EAnalysis'!J$11</f>
        <v>44.426833333333335</v>
      </c>
      <c r="L11" s="80">
        <f>'7a.EAnalysis'!J$12</f>
        <v>90049.836563236313</v>
      </c>
      <c r="M11" s="80"/>
      <c r="N11" s="272">
        <f>'7a.EAnalysis'!J$14</f>
        <v>0.45234921533689343</v>
      </c>
      <c r="O11" s="80"/>
      <c r="P11" s="420"/>
      <c r="Q11" s="260">
        <v>7</v>
      </c>
      <c r="R11" s="80">
        <f>'7a.EAnalysis'!J$18</f>
        <v>195.100183310521</v>
      </c>
      <c r="S11" s="332" t="str">
        <f>'7a.EAnalysis'!J$19</f>
        <v>--</v>
      </c>
      <c r="T11" s="57">
        <f>'7a.EAnalysis'!J$20</f>
        <v>195.100183310521</v>
      </c>
      <c r="U11" s="331" t="s">
        <v>31</v>
      </c>
      <c r="V11" s="80">
        <f>'7a.EAnalysis'!J$22</f>
        <v>40929.073093905958</v>
      </c>
      <c r="W11" s="80">
        <f>'7a.EAnalysis'!J$23</f>
        <v>11770.247042661165</v>
      </c>
      <c r="X11" s="80">
        <f>'7a.EAnalysis'!J$24</f>
        <v>29138.729608046557</v>
      </c>
      <c r="Y11" s="80">
        <f>'7a.EAnalysis'!J$25</f>
        <v>20.096443198236276</v>
      </c>
      <c r="Z11" s="80">
        <f>'7a.EAnalysis'!J$26</f>
        <v>40733.972910595439</v>
      </c>
    </row>
    <row r="12" spans="1:26" x14ac:dyDescent="0.55000000000000004">
      <c r="B12" s="420"/>
      <c r="C12" s="260">
        <v>8</v>
      </c>
      <c r="D12" s="80">
        <f>'7a.EAnalysis'!K$4</f>
        <v>431.304347826087</v>
      </c>
      <c r="E12" s="333" t="str">
        <f>'7a.EAnalysis'!K$5</f>
        <v>--</v>
      </c>
      <c r="F12" s="205">
        <f>'7a.EAnalysis'!K$6</f>
        <v>431.304347826087</v>
      </c>
      <c r="G12" s="331" t="s">
        <v>31</v>
      </c>
      <c r="H12" s="80">
        <f>'7a.EAnalysis'!K$8</f>
        <v>90481.140911062394</v>
      </c>
      <c r="I12" s="273">
        <f>'7a.EAnalysis'!K$9</f>
        <v>26020.26629778745</v>
      </c>
      <c r="J12" s="207">
        <f>'7a.EAnalysis'!K$10</f>
        <v>64416.447779941605</v>
      </c>
      <c r="K12" s="231">
        <f>'7a.EAnalysis'!K$11</f>
        <v>44.426833333333335</v>
      </c>
      <c r="L12" s="80">
        <f>'7a.EAnalysis'!K$12</f>
        <v>90049.836563236313</v>
      </c>
      <c r="M12" s="80"/>
      <c r="N12" s="272">
        <f>'7a.EAnalysis'!K$14</f>
        <v>0.4038832279793691</v>
      </c>
      <c r="O12" s="80"/>
      <c r="P12" s="420"/>
      <c r="Q12" s="260">
        <v>8</v>
      </c>
      <c r="R12" s="80">
        <f>'7a.EAnalysis'!K$18</f>
        <v>174.19659224153659</v>
      </c>
      <c r="S12" s="332" t="str">
        <f>'7a.EAnalysis'!K$19</f>
        <v>--</v>
      </c>
      <c r="T12" s="57">
        <f>'7a.EAnalysis'!K$20</f>
        <v>174.19659224153659</v>
      </c>
      <c r="U12" s="331" t="s">
        <v>31</v>
      </c>
      <c r="V12" s="80">
        <f>'7a.EAnalysis'!K$22</f>
        <v>36543.815262416036</v>
      </c>
      <c r="W12" s="80">
        <f>'7a.EAnalysis'!K$23</f>
        <v>10509.149145233183</v>
      </c>
      <c r="X12" s="80">
        <f>'7a.EAnalysis'!K$24</f>
        <v>26016.722864327279</v>
      </c>
      <c r="Y12" s="80">
        <f>'7a.EAnalysis'!K$25</f>
        <v>17.943252855568101</v>
      </c>
      <c r="Z12" s="80">
        <f>'7a.EAnalysis'!K$26</f>
        <v>36369.618670174495</v>
      </c>
    </row>
    <row r="13" spans="1:26" x14ac:dyDescent="0.55000000000000004">
      <c r="B13" s="420"/>
      <c r="C13" s="260">
        <v>9</v>
      </c>
      <c r="D13" s="80">
        <f>'7a.EAnalysis'!L$4</f>
        <v>431.304347826087</v>
      </c>
      <c r="E13" s="333" t="str">
        <f>'7a.EAnalysis'!L$5</f>
        <v>--</v>
      </c>
      <c r="F13" s="205">
        <f>'7a.EAnalysis'!L$6</f>
        <v>431.304347826087</v>
      </c>
      <c r="G13" s="331" t="s">
        <v>31</v>
      </c>
      <c r="H13" s="80">
        <f>'7a.EAnalysis'!L$8</f>
        <v>90481.140911062394</v>
      </c>
      <c r="I13" s="273">
        <f>'7a.EAnalysis'!L$9</f>
        <v>26020.26629778745</v>
      </c>
      <c r="J13" s="207">
        <f>'7a.EAnalysis'!L$10</f>
        <v>64416.447779941605</v>
      </c>
      <c r="K13" s="231">
        <f>'7a.EAnalysis'!L$11</f>
        <v>44.426833333333335</v>
      </c>
      <c r="L13" s="80">
        <f>'7a.EAnalysis'!L$12</f>
        <v>90049.836563236313</v>
      </c>
      <c r="M13" s="80"/>
      <c r="N13" s="272">
        <f>'7a.EAnalysis'!L$14</f>
        <v>0.36061002498157957</v>
      </c>
      <c r="O13" s="80"/>
      <c r="P13" s="420"/>
      <c r="Q13" s="260">
        <v>9</v>
      </c>
      <c r="R13" s="80">
        <f>'7a.EAnalysis'!L$18</f>
        <v>155.53267164422911</v>
      </c>
      <c r="S13" s="332" t="str">
        <f>'7a.EAnalysis'!L$19</f>
        <v>--</v>
      </c>
      <c r="T13" s="57">
        <f>'7a.EAnalysis'!L$20</f>
        <v>155.53267164422911</v>
      </c>
      <c r="U13" s="331" t="s">
        <v>31</v>
      </c>
      <c r="V13" s="80">
        <f>'7a.EAnalysis'!L$22</f>
        <v>32628.406484300031</v>
      </c>
      <c r="W13" s="80">
        <f>'7a.EAnalysis'!L$23</f>
        <v>9383.1688796724848</v>
      </c>
      <c r="X13" s="80">
        <f>'7a.EAnalysis'!L$24</f>
        <v>23229.216843149359</v>
      </c>
      <c r="Y13" s="80">
        <f>'7a.EAnalysis'!L$25</f>
        <v>16.020761478185804</v>
      </c>
      <c r="Z13" s="80">
        <f>'7a.EAnalysis'!L$26</f>
        <v>32472.873812655806</v>
      </c>
    </row>
    <row r="14" spans="1:26" x14ac:dyDescent="0.55000000000000004">
      <c r="B14" s="420"/>
      <c r="C14" s="260">
        <v>10</v>
      </c>
      <c r="D14" s="80">
        <f>'7a.EAnalysis'!M$4</f>
        <v>431.304347826087</v>
      </c>
      <c r="E14" s="333" t="str">
        <f>'7a.EAnalysis'!M$5</f>
        <v>--</v>
      </c>
      <c r="F14" s="205">
        <f>'7a.EAnalysis'!M$6</f>
        <v>431.304347826087</v>
      </c>
      <c r="G14" s="331" t="s">
        <v>31</v>
      </c>
      <c r="H14" s="80">
        <f>'7a.EAnalysis'!M$8</f>
        <v>90481.140911062394</v>
      </c>
      <c r="I14" s="273">
        <f>'7a.EAnalysis'!M$9</f>
        <v>26020.26629778745</v>
      </c>
      <c r="J14" s="207">
        <f>'7a.EAnalysis'!M$10</f>
        <v>64416.447779941605</v>
      </c>
      <c r="K14" s="231">
        <f>'7a.EAnalysis'!M$11</f>
        <v>44.426833333333335</v>
      </c>
      <c r="L14" s="80">
        <f>'7a.EAnalysis'!M$12</f>
        <v>90049.836563236313</v>
      </c>
      <c r="M14" s="80"/>
      <c r="N14" s="272">
        <f>'7a.EAnalysis'!M$14</f>
        <v>0.32197323659069599</v>
      </c>
      <c r="O14" s="80"/>
      <c r="P14" s="420"/>
      <c r="Q14" s="260">
        <v>10</v>
      </c>
      <c r="R14" s="80">
        <f>'7a.EAnalysis'!M$18</f>
        <v>138.86845682520453</v>
      </c>
      <c r="S14" s="332" t="str">
        <f>'7a.EAnalysis'!M$19</f>
        <v>--</v>
      </c>
      <c r="T14" s="57">
        <f>'7a.EAnalysis'!M$20</f>
        <v>138.86845682520453</v>
      </c>
      <c r="U14" s="331" t="s">
        <v>31</v>
      </c>
      <c r="V14" s="80">
        <f>'7a.EAnalysis'!M$22</f>
        <v>29132.505789553594</v>
      </c>
      <c r="W14" s="80">
        <f>'7a.EAnalysis'!M$23</f>
        <v>8377.8293568504323</v>
      </c>
      <c r="X14" s="80">
        <f>'7a.EAnalysis'!M$24</f>
        <v>20740.372181383351</v>
      </c>
      <c r="Y14" s="80">
        <f>'7a.EAnalysis'!M$25</f>
        <v>14.304251319808753</v>
      </c>
      <c r="Z14" s="80">
        <f>'7a.EAnalysis'!M$26</f>
        <v>28993.637332728391</v>
      </c>
    </row>
    <row r="15" spans="1:26" x14ac:dyDescent="0.55000000000000004">
      <c r="B15" s="420"/>
      <c r="C15" s="260">
        <v>11</v>
      </c>
      <c r="D15" s="80">
        <f>'7a.EAnalysis'!N$4</f>
        <v>431.304347826087</v>
      </c>
      <c r="E15" s="333" t="str">
        <f>'7a.EAnalysis'!N$5</f>
        <v>--</v>
      </c>
      <c r="F15" s="205">
        <f>'7a.EAnalysis'!N$6</f>
        <v>431.304347826087</v>
      </c>
      <c r="G15" s="331" t="s">
        <v>31</v>
      </c>
      <c r="H15" s="80">
        <f>'7a.EAnalysis'!N$8</f>
        <v>90481.140911062394</v>
      </c>
      <c r="I15" s="273">
        <f>'7a.EAnalysis'!N$9</f>
        <v>26020.26629778745</v>
      </c>
      <c r="J15" s="207">
        <f>'7a.EAnalysis'!N$10</f>
        <v>64416.447779941605</v>
      </c>
      <c r="K15" s="231">
        <f>'7a.EAnalysis'!N$11</f>
        <v>44.426833333333335</v>
      </c>
      <c r="L15" s="80">
        <f>'7a.EAnalysis'!N$12</f>
        <v>90049.836563236313</v>
      </c>
      <c r="M15" s="80"/>
      <c r="N15" s="272">
        <f>'7a.EAnalysis'!N$14</f>
        <v>0.28747610409883567</v>
      </c>
      <c r="O15" s="80"/>
      <c r="P15" s="420"/>
      <c r="Q15" s="260">
        <v>11</v>
      </c>
      <c r="R15" s="80">
        <f>'7a.EAnalysis'!N$18</f>
        <v>123.98969359393261</v>
      </c>
      <c r="S15" s="332" t="str">
        <f>'7a.EAnalysis'!N$19</f>
        <v>--</v>
      </c>
      <c r="T15" s="57">
        <f>'7a.EAnalysis'!N$20</f>
        <v>123.98969359393261</v>
      </c>
      <c r="U15" s="331" t="s">
        <v>31</v>
      </c>
      <c r="V15" s="80">
        <f>'7a.EAnalysis'!N$22</f>
        <v>26011.165883529993</v>
      </c>
      <c r="W15" s="80">
        <f>'7a.EAnalysis'!N$23</f>
        <v>7480.2047829021703</v>
      </c>
      <c r="X15" s="80">
        <f>'7a.EAnalysis'!N$24</f>
        <v>18518.189447663706</v>
      </c>
      <c r="Y15" s="80">
        <f>'7a.EAnalysis'!N$25</f>
        <v>12.771652964114956</v>
      </c>
      <c r="Z15" s="80">
        <f>'7a.EAnalysis'!N$26</f>
        <v>25887.176189936061</v>
      </c>
    </row>
    <row r="16" spans="1:26" x14ac:dyDescent="0.55000000000000004">
      <c r="B16" s="420"/>
      <c r="C16" s="260">
        <v>12</v>
      </c>
      <c r="D16" s="80">
        <f>'7a.EAnalysis'!O$4</f>
        <v>431.304347826087</v>
      </c>
      <c r="E16" s="333" t="str">
        <f>'7a.EAnalysis'!O$5</f>
        <v>--</v>
      </c>
      <c r="F16" s="205">
        <f>'7a.EAnalysis'!O$6</f>
        <v>431.304347826087</v>
      </c>
      <c r="G16" s="331" t="s">
        <v>31</v>
      </c>
      <c r="H16" s="80">
        <f>'7a.EAnalysis'!O$8</f>
        <v>90481.140911062394</v>
      </c>
      <c r="I16" s="273">
        <f>'7a.EAnalysis'!O$9</f>
        <v>26020.26629778745</v>
      </c>
      <c r="J16" s="207">
        <f>'7a.EAnalysis'!O$10</f>
        <v>64416.447779941605</v>
      </c>
      <c r="K16" s="231">
        <f>'7a.EAnalysis'!O$11</f>
        <v>44.426833333333335</v>
      </c>
      <c r="L16" s="80">
        <f>'7a.EAnalysis'!O$12</f>
        <v>90049.836563236313</v>
      </c>
      <c r="M16" s="80"/>
      <c r="N16" s="272">
        <f>'7a.EAnalysis'!O$14</f>
        <v>0.25667509294538904</v>
      </c>
      <c r="O16" s="80"/>
      <c r="P16" s="420"/>
      <c r="Q16" s="260">
        <v>12</v>
      </c>
      <c r="R16" s="80">
        <f>'7a.EAnalysis'!O$18</f>
        <v>110.70508356601128</v>
      </c>
      <c r="S16" s="332" t="str">
        <f>'7a.EAnalysis'!O$19</f>
        <v>--</v>
      </c>
      <c r="T16" s="57">
        <f>'7a.EAnalysis'!O$20</f>
        <v>110.70508356601128</v>
      </c>
      <c r="U16" s="331" t="s">
        <v>31</v>
      </c>
      <c r="V16" s="80">
        <f>'7a.EAnalysis'!O$22</f>
        <v>23224.255253151783</v>
      </c>
      <c r="W16" s="80">
        <f>'7a.EAnalysis'!O$23</f>
        <v>6678.7542704483676</v>
      </c>
      <c r="X16" s="80">
        <f>'7a.EAnalysis'!O$24</f>
        <v>16534.09772112831</v>
      </c>
      <c r="Y16" s="80">
        <f>'7a.EAnalysis'!O$25</f>
        <v>11.403261575102642</v>
      </c>
      <c r="Z16" s="80">
        <f>'7a.EAnalysis'!O$26</f>
        <v>23113.550169585771</v>
      </c>
    </row>
    <row r="17" spans="2:26" x14ac:dyDescent="0.55000000000000004">
      <c r="B17" s="420"/>
      <c r="C17" s="260">
        <v>13</v>
      </c>
      <c r="D17" s="80">
        <f>'7a.EAnalysis'!P$4</f>
        <v>431.304347826087</v>
      </c>
      <c r="E17" s="333" t="str">
        <f>'7a.EAnalysis'!P$5</f>
        <v>--</v>
      </c>
      <c r="F17" s="205">
        <f>'7a.EAnalysis'!P$6</f>
        <v>431.304347826087</v>
      </c>
      <c r="G17" s="331" t="s">
        <v>31</v>
      </c>
      <c r="H17" s="80">
        <f>'7a.EAnalysis'!P$8</f>
        <v>90481.140911062394</v>
      </c>
      <c r="I17" s="273">
        <f>'7a.EAnalysis'!P$9</f>
        <v>26020.26629778745</v>
      </c>
      <c r="J17" s="207">
        <f>'7a.EAnalysis'!P$10</f>
        <v>64416.447779941605</v>
      </c>
      <c r="K17" s="231">
        <f>'7a.EAnalysis'!P$11</f>
        <v>44.426833333333335</v>
      </c>
      <c r="L17" s="80">
        <f>'7a.EAnalysis'!P$12</f>
        <v>90049.836563236313</v>
      </c>
      <c r="M17" s="80"/>
      <c r="N17" s="272">
        <f>'7a.EAnalysis'!P$14</f>
        <v>0.22917419012981158</v>
      </c>
      <c r="O17" s="80"/>
      <c r="P17" s="420"/>
      <c r="Q17" s="260">
        <v>13</v>
      </c>
      <c r="R17" s="80">
        <f>'7a.EAnalysis'!P$18</f>
        <v>98.843824612510048</v>
      </c>
      <c r="S17" s="332" t="str">
        <f>'7a.EAnalysis'!P$19</f>
        <v>--</v>
      </c>
      <c r="T17" s="57">
        <f>'7a.EAnalysis'!P$20</f>
        <v>98.843824612510048</v>
      </c>
      <c r="U17" s="331" t="s">
        <v>31</v>
      </c>
      <c r="V17" s="80">
        <f>'7a.EAnalysis'!P$22</f>
        <v>20735.942190314086</v>
      </c>
      <c r="W17" s="80">
        <f>'7a.EAnalysis'!P$23</f>
        <v>5963.1734557574691</v>
      </c>
      <c r="X17" s="80">
        <f>'7a.EAnalysis'!P$24</f>
        <v>14762.587251007417</v>
      </c>
      <c r="Y17" s="80">
        <f>'7a.EAnalysis'!P$25</f>
        <v>10.181483549198784</v>
      </c>
      <c r="Z17" s="80">
        <f>'7a.EAnalysis'!P$26</f>
        <v>20637.098365701579</v>
      </c>
    </row>
    <row r="18" spans="2:26" x14ac:dyDescent="0.55000000000000004">
      <c r="B18" s="420"/>
      <c r="C18" s="260">
        <v>14</v>
      </c>
      <c r="D18" s="80">
        <f>'7a.EAnalysis'!Q$4</f>
        <v>431.304347826087</v>
      </c>
      <c r="E18" s="333" t="str">
        <f>'7a.EAnalysis'!Q$5</f>
        <v>--</v>
      </c>
      <c r="F18" s="205">
        <f>'7a.EAnalysis'!Q$6</f>
        <v>431.304347826087</v>
      </c>
      <c r="G18" s="331" t="s">
        <v>31</v>
      </c>
      <c r="H18" s="80">
        <f>'7a.EAnalysis'!Q$8</f>
        <v>90481.140911062394</v>
      </c>
      <c r="I18" s="273">
        <f>'7a.EAnalysis'!Q$9</f>
        <v>26020.26629778745</v>
      </c>
      <c r="J18" s="207">
        <f>'7a.EAnalysis'!Q$10</f>
        <v>64416.447779941605</v>
      </c>
      <c r="K18" s="231">
        <f>'7a.EAnalysis'!Q$11</f>
        <v>44.426833333333335</v>
      </c>
      <c r="L18" s="80">
        <f>'7a.EAnalysis'!Q$12</f>
        <v>90049.836563236313</v>
      </c>
      <c r="M18" s="80"/>
      <c r="N18" s="272">
        <f>'7a.EAnalysis'!Q$14</f>
        <v>0.20461981261590317</v>
      </c>
      <c r="O18" s="80"/>
      <c r="P18" s="420"/>
      <c r="Q18" s="260">
        <v>14</v>
      </c>
      <c r="R18" s="80">
        <f>'7a.EAnalysis'!Q$18</f>
        <v>88.253414832598253</v>
      </c>
      <c r="S18" s="332" t="str">
        <f>'7a.EAnalysis'!Q$19</f>
        <v>--</v>
      </c>
      <c r="T18" s="57">
        <f>'7a.EAnalysis'!Q$20</f>
        <v>88.253414832598253</v>
      </c>
      <c r="U18" s="331" t="s">
        <v>31</v>
      </c>
      <c r="V18" s="80">
        <f>'7a.EAnalysis'!Q$22</f>
        <v>18514.234098494719</v>
      </c>
      <c r="W18" s="80">
        <f>'7a.EAnalysis'!Q$23</f>
        <v>5324.2620140691688</v>
      </c>
      <c r="X18" s="80">
        <f>'7a.EAnalysis'!Q$24</f>
        <v>13180.881474113763</v>
      </c>
      <c r="Y18" s="80">
        <f>'7a.EAnalysis'!Q$25</f>
        <v>9.0906103117846282</v>
      </c>
      <c r="Z18" s="80">
        <f>'7a.EAnalysis'!Q$26</f>
        <v>18425.980683662121</v>
      </c>
    </row>
    <row r="19" spans="2:26" x14ac:dyDescent="0.55000000000000004">
      <c r="B19" s="420"/>
      <c r="C19" s="260">
        <v>15</v>
      </c>
      <c r="D19" s="80">
        <f>'7a.EAnalysis'!R$4</f>
        <v>431.304347826087</v>
      </c>
      <c r="E19" s="333" t="str">
        <f>'7a.EAnalysis'!R$5</f>
        <v>--</v>
      </c>
      <c r="F19" s="205">
        <f>'7a.EAnalysis'!R$6</f>
        <v>431.304347826087</v>
      </c>
      <c r="G19" s="331" t="s">
        <v>31</v>
      </c>
      <c r="H19" s="80">
        <f>'7a.EAnalysis'!R$8</f>
        <v>90481.140911062394</v>
      </c>
      <c r="I19" s="273">
        <f>'7a.EAnalysis'!R$9</f>
        <v>26020.26629778745</v>
      </c>
      <c r="J19" s="207">
        <f>'7a.EAnalysis'!R$10</f>
        <v>64416.447779941605</v>
      </c>
      <c r="K19" s="231">
        <f>'7a.EAnalysis'!R$11</f>
        <v>44.426833333333335</v>
      </c>
      <c r="L19" s="80">
        <f>'7a.EAnalysis'!R$12</f>
        <v>90049.836563236313</v>
      </c>
      <c r="M19" s="80"/>
      <c r="N19" s="272">
        <f>'7a.EAnalysis'!R$14</f>
        <v>0.18269626126419927</v>
      </c>
      <c r="O19" s="80"/>
      <c r="P19" s="420"/>
      <c r="Q19" s="260">
        <v>15</v>
      </c>
      <c r="R19" s="80">
        <f>'7a.EAnalysis'!R$18</f>
        <v>78.797691814819871</v>
      </c>
      <c r="S19" s="332" t="str">
        <f>'7a.EAnalysis'!R$19</f>
        <v>--</v>
      </c>
      <c r="T19" s="57">
        <f>'7a.EAnalysis'!R$20</f>
        <v>78.797691814819871</v>
      </c>
      <c r="U19" s="331" t="s">
        <v>31</v>
      </c>
      <c r="V19" s="80">
        <f>'7a.EAnalysis'!R$22</f>
        <v>16530.566159370286</v>
      </c>
      <c r="W19" s="80">
        <f>'7a.EAnalysis'!R$23</f>
        <v>4753.8053697046153</v>
      </c>
      <c r="X19" s="80">
        <f>'7a.EAnalysis'!R$24</f>
        <v>11768.644173315861</v>
      </c>
      <c r="Y19" s="80">
        <f>'7a.EAnalysis'!R$25</f>
        <v>8.1166163498077033</v>
      </c>
      <c r="Z19" s="80">
        <f>'7a.EAnalysis'!R$26</f>
        <v>16451.768467555466</v>
      </c>
    </row>
    <row r="20" spans="2:26" x14ac:dyDescent="0.55000000000000004">
      <c r="B20" s="420"/>
      <c r="C20" s="260">
        <v>16</v>
      </c>
      <c r="D20" s="80">
        <f>'7a.EAnalysis'!S$4</f>
        <v>431.304347826087</v>
      </c>
      <c r="E20" s="333" t="str">
        <f>'7a.EAnalysis'!S$5</f>
        <v>--</v>
      </c>
      <c r="F20" s="205">
        <f>'7a.EAnalysis'!S$6</f>
        <v>431.304347826087</v>
      </c>
      <c r="G20" s="331" t="s">
        <v>31</v>
      </c>
      <c r="H20" s="80">
        <f>'7a.EAnalysis'!S$8</f>
        <v>90481.140911062394</v>
      </c>
      <c r="I20" s="273">
        <f>'7a.EAnalysis'!S$9</f>
        <v>26020.26629778745</v>
      </c>
      <c r="J20" s="207">
        <f>'7a.EAnalysis'!S$10</f>
        <v>64416.447779941605</v>
      </c>
      <c r="K20" s="231">
        <f>'7a.EAnalysis'!S$11</f>
        <v>44.426833333333335</v>
      </c>
      <c r="L20" s="80">
        <f>'7a.EAnalysis'!S$12</f>
        <v>90049.836563236313</v>
      </c>
      <c r="M20" s="80"/>
      <c r="N20" s="272">
        <f>'7a.EAnalysis'!S$14</f>
        <v>0.16312166184303503</v>
      </c>
      <c r="O20" s="80"/>
      <c r="P20" s="420"/>
      <c r="Q20" s="260">
        <v>16</v>
      </c>
      <c r="R20" s="80">
        <f>'7a.EAnalysis'!S$18</f>
        <v>70.355081977517727</v>
      </c>
      <c r="S20" s="332" t="str">
        <f>'7a.EAnalysis'!S$19</f>
        <v>--</v>
      </c>
      <c r="T20" s="57">
        <f>'7a.EAnalysis'!S$20</f>
        <v>70.355081977517727</v>
      </c>
      <c r="U20" s="331" t="s">
        <v>31</v>
      </c>
      <c r="V20" s="80">
        <f>'7a.EAnalysis'!S$22</f>
        <v>14759.434070866322</v>
      </c>
      <c r="W20" s="80">
        <f>'7a.EAnalysis'!S$23</f>
        <v>4244.4690800934059</v>
      </c>
      <c r="X20" s="80">
        <f>'7a.EAnalysis'!S$24</f>
        <v>10507.718011889159</v>
      </c>
      <c r="Y20" s="80">
        <f>'7a.EAnalysis'!S$25</f>
        <v>7.2469788837568769</v>
      </c>
      <c r="Z20" s="80">
        <f>'7a.EAnalysis'!S$26</f>
        <v>14689.078988888807</v>
      </c>
    </row>
    <row r="21" spans="2:26" x14ac:dyDescent="0.55000000000000004">
      <c r="B21" s="420"/>
      <c r="C21" s="260">
        <v>17</v>
      </c>
      <c r="D21" s="80">
        <f>'7a.EAnalysis'!T$4</f>
        <v>431.304347826087</v>
      </c>
      <c r="E21" s="333" t="str">
        <f>'7a.EAnalysis'!T$5</f>
        <v>--</v>
      </c>
      <c r="F21" s="205">
        <f>'7a.EAnalysis'!T$6</f>
        <v>431.304347826087</v>
      </c>
      <c r="G21" s="331" t="s">
        <v>31</v>
      </c>
      <c r="H21" s="80">
        <f>'7a.EAnalysis'!T$8</f>
        <v>90481.140911062394</v>
      </c>
      <c r="I21" s="273">
        <f>'7a.EAnalysis'!T$9</f>
        <v>26020.26629778745</v>
      </c>
      <c r="J21" s="207">
        <f>'7a.EAnalysis'!T$10</f>
        <v>64416.447779941605</v>
      </c>
      <c r="K21" s="231">
        <f>'7a.EAnalysis'!T$11</f>
        <v>44.426833333333335</v>
      </c>
      <c r="L21" s="80">
        <f>'7a.EAnalysis'!T$12</f>
        <v>90049.836563236313</v>
      </c>
      <c r="M21" s="80"/>
      <c r="N21" s="272">
        <f>'7a.EAnalysis'!T$14</f>
        <v>0.14564434093128129</v>
      </c>
      <c r="O21" s="80"/>
      <c r="P21" s="420"/>
      <c r="Q21" s="260">
        <v>17</v>
      </c>
      <c r="R21" s="80">
        <f>'7a.EAnalysis'!T$18</f>
        <v>62.81703747992654</v>
      </c>
      <c r="S21" s="332" t="str">
        <f>'7a.EAnalysis'!T$19</f>
        <v>--</v>
      </c>
      <c r="T21" s="57">
        <f>'7a.EAnalysis'!T$20</f>
        <v>62.81703747992654</v>
      </c>
      <c r="U21" s="331" t="s">
        <v>31</v>
      </c>
      <c r="V21" s="80">
        <f>'7a.EAnalysis'!T$22</f>
        <v>13178.066134702074</v>
      </c>
      <c r="W21" s="80">
        <f>'7a.EAnalysis'!T$23</f>
        <v>3789.7045357976835</v>
      </c>
      <c r="X21" s="80">
        <f>'7a.EAnalysis'!T$24</f>
        <v>9381.8910820438923</v>
      </c>
      <c r="Y21" s="80">
        <f>'7a.EAnalysis'!T$25</f>
        <v>6.4705168604972121</v>
      </c>
      <c r="Z21" s="80">
        <f>'7a.EAnalysis'!T$26</f>
        <v>13115.249097222149</v>
      </c>
    </row>
    <row r="22" spans="2:26" x14ac:dyDescent="0.55000000000000004">
      <c r="B22" s="420"/>
      <c r="C22" s="260">
        <v>18</v>
      </c>
      <c r="D22" s="80">
        <f>'7a.EAnalysis'!U$4</f>
        <v>431.304347826087</v>
      </c>
      <c r="E22" s="333" t="str">
        <f>'7a.EAnalysis'!U$5</f>
        <v>--</v>
      </c>
      <c r="F22" s="205">
        <f>'7a.EAnalysis'!U$6</f>
        <v>431.304347826087</v>
      </c>
      <c r="G22" s="331" t="s">
        <v>31</v>
      </c>
      <c r="H22" s="80">
        <f>'7a.EAnalysis'!U$8</f>
        <v>90481.140911062394</v>
      </c>
      <c r="I22" s="273">
        <f>'7a.EAnalysis'!U$9</f>
        <v>26020.26629778745</v>
      </c>
      <c r="J22" s="207">
        <f>'7a.EAnalysis'!U$10</f>
        <v>64416.447779941605</v>
      </c>
      <c r="K22" s="231">
        <f>'7a.EAnalysis'!U$11</f>
        <v>44.426833333333335</v>
      </c>
      <c r="L22" s="80">
        <f>'7a.EAnalysis'!U$12</f>
        <v>90049.836563236313</v>
      </c>
      <c r="M22" s="80"/>
      <c r="N22" s="272">
        <f>'7a.EAnalysis'!U$14</f>
        <v>0.13003959011721541</v>
      </c>
      <c r="O22" s="80"/>
      <c r="P22" s="420"/>
      <c r="Q22" s="260">
        <v>18</v>
      </c>
      <c r="R22" s="80">
        <f>'7a.EAnalysis'!U$18</f>
        <v>56.086640607077264</v>
      </c>
      <c r="S22" s="332" t="str">
        <f>'7a.EAnalysis'!U$19</f>
        <v>--</v>
      </c>
      <c r="T22" s="57">
        <f>'7a.EAnalysis'!U$20</f>
        <v>56.086640607077264</v>
      </c>
      <c r="U22" s="331" t="s">
        <v>31</v>
      </c>
      <c r="V22" s="80">
        <f>'7a.EAnalysis'!U$22</f>
        <v>11766.130477412564</v>
      </c>
      <c r="W22" s="80">
        <f>'7a.EAnalysis'!U$23</f>
        <v>3383.664764105074</v>
      </c>
      <c r="X22" s="80">
        <f>'7a.EAnalysis'!U$24</f>
        <v>8376.6884661106178</v>
      </c>
      <c r="Y22" s="80">
        <f>'7a.EAnalysis'!U$25</f>
        <v>5.7772471968725094</v>
      </c>
      <c r="Z22" s="80">
        <f>'7a.EAnalysis'!U$26</f>
        <v>11710.043836805487</v>
      </c>
    </row>
    <row r="23" spans="2:26" x14ac:dyDescent="0.55000000000000004">
      <c r="B23" s="420"/>
      <c r="C23" s="260">
        <v>19</v>
      </c>
      <c r="D23" s="80">
        <f>'7a.EAnalysis'!V$4</f>
        <v>431.304347826087</v>
      </c>
      <c r="E23" s="333" t="str">
        <f>'7a.EAnalysis'!V$5</f>
        <v>--</v>
      </c>
      <c r="F23" s="205">
        <f>'7a.EAnalysis'!V$6</f>
        <v>431.304347826087</v>
      </c>
      <c r="G23" s="331" t="s">
        <v>31</v>
      </c>
      <c r="H23" s="80">
        <f>'7a.EAnalysis'!V$8</f>
        <v>90481.140911062394</v>
      </c>
      <c r="I23" s="273">
        <f>'7a.EAnalysis'!V$9</f>
        <v>26020.26629778745</v>
      </c>
      <c r="J23" s="207">
        <f>'7a.EAnalysis'!V$10</f>
        <v>64416.447779941605</v>
      </c>
      <c r="K23" s="231">
        <f>'7a.EAnalysis'!V$11</f>
        <v>44.426833333333335</v>
      </c>
      <c r="L23" s="80">
        <f>'7a.EAnalysis'!V$12</f>
        <v>90049.836563236313</v>
      </c>
      <c r="M23" s="80"/>
      <c r="N23" s="272">
        <f>'7a.EAnalysis'!V$14</f>
        <v>0.1161067768903709</v>
      </c>
      <c r="O23" s="80"/>
      <c r="P23" s="420"/>
      <c r="Q23" s="260">
        <v>19</v>
      </c>
      <c r="R23" s="80">
        <f>'7a.EAnalysis'!V$18</f>
        <v>50.077357684890409</v>
      </c>
      <c r="S23" s="332" t="str">
        <f>'7a.EAnalysis'!V$19</f>
        <v>--</v>
      </c>
      <c r="T23" s="57">
        <f>'7a.EAnalysis'!V$20</f>
        <v>50.077357684890409</v>
      </c>
      <c r="U23" s="331" t="s">
        <v>31</v>
      </c>
      <c r="V23" s="80">
        <f>'7a.EAnalysis'!V$22</f>
        <v>10505.473640546932</v>
      </c>
      <c r="W23" s="80">
        <f>'7a.EAnalysis'!V$23</f>
        <v>3021.1292536652445</v>
      </c>
      <c r="X23" s="80">
        <f>'7a.EAnalysis'!V$24</f>
        <v>7479.1861304559079</v>
      </c>
      <c r="Y23" s="80">
        <f>'7a.EAnalysis'!V$25</f>
        <v>5.158256425779026</v>
      </c>
      <c r="Z23" s="80">
        <f>'7a.EAnalysis'!V$26</f>
        <v>10455.396282862042</v>
      </c>
    </row>
    <row r="24" spans="2:26" x14ac:dyDescent="0.55000000000000004">
      <c r="B24" s="420"/>
      <c r="C24" s="260">
        <v>20</v>
      </c>
      <c r="D24" s="80">
        <f>'7a.EAnalysis'!W$4</f>
        <v>431.304347826087</v>
      </c>
      <c r="E24" s="333" t="str">
        <f>'7a.EAnalysis'!W$5</f>
        <v>--</v>
      </c>
      <c r="F24" s="205">
        <f>'7a.EAnalysis'!W$6</f>
        <v>431.304347826087</v>
      </c>
      <c r="G24" s="331" t="s">
        <v>31</v>
      </c>
      <c r="H24" s="80">
        <f>'7a.EAnalysis'!W$8</f>
        <v>90481.140911062394</v>
      </c>
      <c r="I24" s="273">
        <f>'7a.EAnalysis'!W$9</f>
        <v>26020.26629778745</v>
      </c>
      <c r="J24" s="207">
        <f>'7a.EAnalysis'!W$10</f>
        <v>64416.447779941605</v>
      </c>
      <c r="K24" s="231">
        <f>'7a.EAnalysis'!W$11</f>
        <v>44.426833333333335</v>
      </c>
      <c r="L24" s="80">
        <f>'7a.EAnalysis'!W$12</f>
        <v>90049.836563236313</v>
      </c>
      <c r="M24" s="80"/>
      <c r="N24" s="272">
        <f>'7a.EAnalysis'!W$14</f>
        <v>0.1036667650806883</v>
      </c>
      <c r="O24" s="80"/>
      <c r="P24" s="420"/>
      <c r="Q24" s="260">
        <v>20</v>
      </c>
      <c r="R24" s="80">
        <f>'7a.EAnalysis'!W$18</f>
        <v>44.711926504366438</v>
      </c>
      <c r="S24" s="332" t="str">
        <f>'7a.EAnalysis'!W$19</f>
        <v>--</v>
      </c>
      <c r="T24" s="57">
        <f>'7a.EAnalysis'!W$20</f>
        <v>44.711926504366438</v>
      </c>
      <c r="U24" s="331" t="s">
        <v>31</v>
      </c>
      <c r="V24" s="80">
        <f>'7a.EAnalysis'!W$22</f>
        <v>9379.8871790597605</v>
      </c>
      <c r="W24" s="80">
        <f>'7a.EAnalysis'!W$23</f>
        <v>2697.4368336296825</v>
      </c>
      <c r="X24" s="80">
        <f>'7a.EAnalysis'!W$24</f>
        <v>6677.8447593356314</v>
      </c>
      <c r="Y24" s="80">
        <f>'7a.EAnalysis'!W$25</f>
        <v>4.6055860944455587</v>
      </c>
      <c r="Z24" s="80">
        <f>'7a.EAnalysis'!W$26</f>
        <v>9335.1752525553948</v>
      </c>
    </row>
    <row r="25" spans="2:26" x14ac:dyDescent="0.55000000000000004">
      <c r="B25" s="420"/>
      <c r="C25" s="260">
        <v>21</v>
      </c>
      <c r="D25" s="80">
        <f>'7a.EAnalysis'!X$4</f>
        <v>431.304347826087</v>
      </c>
      <c r="E25" s="333" t="str">
        <f>'7a.EAnalysis'!X$5</f>
        <v>--</v>
      </c>
      <c r="F25" s="205">
        <f>'7a.EAnalysis'!X$6</f>
        <v>431.304347826087</v>
      </c>
      <c r="G25" s="331" t="s">
        <v>31</v>
      </c>
      <c r="H25" s="80">
        <f>'7a.EAnalysis'!X$8</f>
        <v>90481.140911062394</v>
      </c>
      <c r="I25" s="273">
        <f>'7a.EAnalysis'!X$9</f>
        <v>26020.26629778745</v>
      </c>
      <c r="J25" s="207">
        <f>'7a.EAnalysis'!X$10</f>
        <v>64416.447779941605</v>
      </c>
      <c r="K25" s="231">
        <f>'7a.EAnalysis'!X$11</f>
        <v>44.426833333333335</v>
      </c>
      <c r="L25" s="80">
        <f>'7a.EAnalysis'!X$12</f>
        <v>90049.836563236313</v>
      </c>
      <c r="M25" s="80"/>
      <c r="N25" s="272">
        <f>'7a.EAnalysis'!X$14</f>
        <v>9.2559611679185971E-2</v>
      </c>
      <c r="O25" s="80"/>
      <c r="P25" s="420"/>
      <c r="Q25" s="260">
        <v>21</v>
      </c>
      <c r="R25" s="80">
        <f>'7a.EAnalysis'!X$18</f>
        <v>39.921362950327172</v>
      </c>
      <c r="S25" s="332" t="str">
        <f>'7a.EAnalysis'!X$19</f>
        <v>--</v>
      </c>
      <c r="T25" s="57">
        <f>'7a.EAnalysis'!X$20</f>
        <v>39.921362950327172</v>
      </c>
      <c r="U25" s="331" t="s">
        <v>31</v>
      </c>
      <c r="V25" s="80">
        <f>'7a.EAnalysis'!X$22</f>
        <v>8374.8992670176431</v>
      </c>
      <c r="W25" s="80">
        <f>'7a.EAnalysis'!X$23</f>
        <v>2408.4257443122165</v>
      </c>
      <c r="X25" s="80">
        <f>'7a.EAnalysis'!X$24</f>
        <v>5962.3613922639561</v>
      </c>
      <c r="Y25" s="80">
        <f>'7a.EAnalysis'!X$25</f>
        <v>4.1121304414692483</v>
      </c>
      <c r="Z25" s="80">
        <f>'7a.EAnalysis'!X$26</f>
        <v>8334.9779040673166</v>
      </c>
    </row>
    <row r="26" spans="2:26" x14ac:dyDescent="0.55000000000000004">
      <c r="B26" s="420"/>
      <c r="C26" s="260">
        <v>22</v>
      </c>
      <c r="D26" s="80">
        <f>'7a.EAnalysis'!Y$4</f>
        <v>431.304347826087</v>
      </c>
      <c r="E26" s="333" t="str">
        <f>'7a.EAnalysis'!Y$5</f>
        <v>--</v>
      </c>
      <c r="F26" s="205">
        <f>'7a.EAnalysis'!Y$6</f>
        <v>431.304347826087</v>
      </c>
      <c r="G26" s="331" t="s">
        <v>31</v>
      </c>
      <c r="H26" s="80">
        <f>'7a.EAnalysis'!Y$8</f>
        <v>90481.140911062394</v>
      </c>
      <c r="I26" s="273">
        <f>'7a.EAnalysis'!Y$9</f>
        <v>26020.26629778745</v>
      </c>
      <c r="J26" s="207">
        <f>'7a.EAnalysis'!Y$10</f>
        <v>64416.447779941605</v>
      </c>
      <c r="K26" s="231">
        <f>'7a.EAnalysis'!Y$11</f>
        <v>44.426833333333335</v>
      </c>
      <c r="L26" s="80">
        <f>'7a.EAnalysis'!Y$12</f>
        <v>90049.836563236313</v>
      </c>
      <c r="M26" s="80"/>
      <c r="N26" s="272">
        <f>'7a.EAnalysis'!Y$14</f>
        <v>8.2642510427844609E-2</v>
      </c>
      <c r="O26" s="80"/>
      <c r="P26" s="420"/>
      <c r="Q26" s="260">
        <v>22</v>
      </c>
      <c r="R26" s="80">
        <f>'7a.EAnalysis'!Y$18</f>
        <v>35.644074062792114</v>
      </c>
      <c r="S26" s="332" t="str">
        <f>'7a.EAnalysis'!Y$19</f>
        <v>--</v>
      </c>
      <c r="T26" s="57">
        <f>'7a.EAnalysis'!Y$20</f>
        <v>35.644074062792114</v>
      </c>
      <c r="U26" s="331" t="s">
        <v>31</v>
      </c>
      <c r="V26" s="80">
        <f>'7a.EAnalysis'!Y$22</f>
        <v>7477.5886312657512</v>
      </c>
      <c r="W26" s="80">
        <f>'7a.EAnalysis'!Y$23</f>
        <v>2150.3801288501932</v>
      </c>
      <c r="X26" s="80">
        <f>'7a.EAnalysis'!Y$24</f>
        <v>5323.536957378532</v>
      </c>
      <c r="Y26" s="80">
        <f>'7a.EAnalysis'!Y$25</f>
        <v>3.6715450370261147</v>
      </c>
      <c r="Z26" s="80">
        <f>'7a.EAnalysis'!Y$26</f>
        <v>7441.9445572029599</v>
      </c>
    </row>
    <row r="27" spans="2:26" x14ac:dyDescent="0.55000000000000004">
      <c r="B27" s="420"/>
      <c r="C27" s="260">
        <v>23</v>
      </c>
      <c r="D27" s="80">
        <f>'7a.EAnalysis'!Z$4</f>
        <v>431.304347826087</v>
      </c>
      <c r="E27" s="333" t="str">
        <f>'7a.EAnalysis'!Z$5</f>
        <v>--</v>
      </c>
      <c r="F27" s="205">
        <f>'7a.EAnalysis'!Z$6</f>
        <v>431.304347826087</v>
      </c>
      <c r="G27" s="331" t="s">
        <v>31</v>
      </c>
      <c r="H27" s="80">
        <f>'7a.EAnalysis'!Z$8</f>
        <v>90481.140911062394</v>
      </c>
      <c r="I27" s="273">
        <f>'7a.EAnalysis'!Z$9</f>
        <v>26020.26629778745</v>
      </c>
      <c r="J27" s="207">
        <f>'7a.EAnalysis'!Z$10</f>
        <v>64416.447779941605</v>
      </c>
      <c r="K27" s="231">
        <f>'7a.EAnalysis'!Z$11</f>
        <v>44.426833333333335</v>
      </c>
      <c r="L27" s="80">
        <f>'7a.EAnalysis'!Z$12</f>
        <v>90049.836563236313</v>
      </c>
      <c r="M27" s="80"/>
      <c r="N27" s="272">
        <f>'7a.EAnalysis'!Z$14</f>
        <v>7.3787955739146982E-2</v>
      </c>
      <c r="O27" s="80"/>
      <c r="P27" s="420"/>
      <c r="Q27" s="260">
        <v>23</v>
      </c>
      <c r="R27" s="80">
        <f>'7a.EAnalysis'!Z$18</f>
        <v>31.825066127492963</v>
      </c>
      <c r="S27" s="332" t="str">
        <f>'7a.EAnalysis'!Z$19</f>
        <v>--</v>
      </c>
      <c r="T27" s="57">
        <f>'7a.EAnalysis'!Z$20</f>
        <v>31.825066127492963</v>
      </c>
      <c r="U27" s="331" t="s">
        <v>31</v>
      </c>
      <c r="V27" s="80">
        <f>'7a.EAnalysis'!Z$22</f>
        <v>6676.4184207729932</v>
      </c>
      <c r="W27" s="80">
        <f>'7a.EAnalysis'!Z$23</f>
        <v>1919.9822579019583</v>
      </c>
      <c r="X27" s="80">
        <f>'7a.EAnalysis'!Z$24</f>
        <v>4753.1579976594039</v>
      </c>
      <c r="Y27" s="80">
        <f>'7a.EAnalysis'!Z$25</f>
        <v>3.2781652116304598</v>
      </c>
      <c r="Z27" s="80">
        <f>'7a.EAnalysis'!Z$26</f>
        <v>6644.5933546455008</v>
      </c>
    </row>
    <row r="28" spans="2:26" x14ac:dyDescent="0.55000000000000004">
      <c r="B28" s="420"/>
      <c r="C28" s="260">
        <v>24</v>
      </c>
      <c r="D28" s="80">
        <f>'7a.EAnalysis'!AA$4</f>
        <v>431.304347826087</v>
      </c>
      <c r="E28" s="333" t="str">
        <f>'7a.EAnalysis'!AA$5</f>
        <v>--</v>
      </c>
      <c r="F28" s="205">
        <f>'7a.EAnalysis'!AA$6</f>
        <v>431.304347826087</v>
      </c>
      <c r="G28" s="331" t="s">
        <v>31</v>
      </c>
      <c r="H28" s="80">
        <f>'7a.EAnalysis'!AA$8</f>
        <v>90481.140911062394</v>
      </c>
      <c r="I28" s="273">
        <f>'7a.EAnalysis'!AA$9</f>
        <v>26020.26629778745</v>
      </c>
      <c r="J28" s="207">
        <f>'7a.EAnalysis'!AA$10</f>
        <v>64416.447779941605</v>
      </c>
      <c r="K28" s="231">
        <f>'7a.EAnalysis'!AA$11</f>
        <v>44.426833333333335</v>
      </c>
      <c r="L28" s="80">
        <f>'7a.EAnalysis'!AA$12</f>
        <v>90049.836563236313</v>
      </c>
      <c r="M28" s="80"/>
      <c r="N28" s="272">
        <f>'7a.EAnalysis'!AA$14</f>
        <v>6.5882103338524081E-2</v>
      </c>
      <c r="O28" s="80"/>
      <c r="P28" s="420"/>
      <c r="Q28" s="260">
        <v>24</v>
      </c>
      <c r="R28" s="80">
        <f>'7a.EAnalysis'!AA$18</f>
        <v>28.415237613832996</v>
      </c>
      <c r="S28" s="332" t="str">
        <f>'7a.EAnalysis'!AA$19</f>
        <v>--</v>
      </c>
      <c r="T28" s="57">
        <f>'7a.EAnalysis'!AA$20</f>
        <v>28.415237613832996</v>
      </c>
      <c r="U28" s="331" t="s">
        <v>31</v>
      </c>
      <c r="V28" s="80">
        <f>'7a.EAnalysis'!AA$22</f>
        <v>5961.0878756901711</v>
      </c>
      <c r="W28" s="80">
        <f>'7a.EAnalysis'!AA$23</f>
        <v>1714.2698731267483</v>
      </c>
      <c r="X28" s="80">
        <f>'7a.EAnalysis'!AA$24</f>
        <v>4243.8910693387534</v>
      </c>
      <c r="Y28" s="80">
        <f>'7a.EAnalysis'!AA$25</f>
        <v>2.9269332246700528</v>
      </c>
      <c r="Z28" s="80">
        <f>'7a.EAnalysis'!AA$26</f>
        <v>5932.6726380763394</v>
      </c>
    </row>
    <row r="29" spans="2:26" x14ac:dyDescent="0.55000000000000004">
      <c r="B29" s="420"/>
      <c r="C29" s="260">
        <v>25</v>
      </c>
      <c r="D29" s="80">
        <f>'7a.EAnalysis'!AB$4</f>
        <v>431.304347826087</v>
      </c>
      <c r="E29" s="333" t="str">
        <f>'7a.EAnalysis'!AB$5</f>
        <v>--</v>
      </c>
      <c r="F29" s="205">
        <f>'7a.EAnalysis'!AB$6</f>
        <v>431.304347826087</v>
      </c>
      <c r="G29" s="331" t="s">
        <v>31</v>
      </c>
      <c r="H29" s="80">
        <f>'7a.EAnalysis'!AB$8</f>
        <v>90481.140911062394</v>
      </c>
      <c r="I29" s="273">
        <f>'7a.EAnalysis'!AB$9</f>
        <v>26020.26629778745</v>
      </c>
      <c r="J29" s="207">
        <f>'7a.EAnalysis'!AB$10</f>
        <v>64416.447779941605</v>
      </c>
      <c r="K29" s="231">
        <f>'7a.EAnalysis'!AB$11</f>
        <v>44.426833333333335</v>
      </c>
      <c r="L29" s="80">
        <f>'7a.EAnalysis'!AB$12</f>
        <v>90049.836563236313</v>
      </c>
      <c r="M29" s="80"/>
      <c r="N29" s="272">
        <f>'7a.EAnalysis'!AB$14</f>
        <v>5.8823306552253637E-2</v>
      </c>
      <c r="O29" s="80"/>
      <c r="P29" s="420"/>
      <c r="Q29" s="260">
        <v>25</v>
      </c>
      <c r="R29" s="80">
        <f>'7a.EAnalysis'!AB$18</f>
        <v>25.370747869493744</v>
      </c>
      <c r="S29" s="332" t="str">
        <f>'7a.EAnalysis'!AB$19</f>
        <v>--</v>
      </c>
      <c r="T29" s="57">
        <f>'7a.EAnalysis'!AB$20</f>
        <v>25.370747869493744</v>
      </c>
      <c r="U29" s="331" t="s">
        <v>31</v>
      </c>
      <c r="V29" s="80">
        <f>'7a.EAnalysis'!AB$22</f>
        <v>5322.3998890090816</v>
      </c>
      <c r="W29" s="80">
        <f>'7a.EAnalysis'!AB$23</f>
        <v>1530.598101006025</v>
      </c>
      <c r="X29" s="80">
        <f>'7a.EAnalysis'!AB$24</f>
        <v>3789.1884547667432</v>
      </c>
      <c r="Y29" s="80">
        <f>'7a.EAnalysis'!AB$25</f>
        <v>2.6133332363125472</v>
      </c>
      <c r="Z29" s="80">
        <f>'7a.EAnalysis'!AB$26</f>
        <v>5297.0291411395874</v>
      </c>
    </row>
    <row r="30" spans="2:26" x14ac:dyDescent="0.55000000000000004">
      <c r="B30" s="420"/>
      <c r="C30" s="260">
        <v>26</v>
      </c>
      <c r="D30" s="80">
        <f>'7a.EAnalysis'!AC$4</f>
        <v>431.304347826087</v>
      </c>
      <c r="E30" s="333" t="str">
        <f>'7a.EAnalysis'!AC$5</f>
        <v>--</v>
      </c>
      <c r="F30" s="205">
        <f>'7a.EAnalysis'!AC$6</f>
        <v>431.304347826087</v>
      </c>
      <c r="G30" s="331" t="s">
        <v>31</v>
      </c>
      <c r="H30" s="80">
        <f>'7a.EAnalysis'!AC$8</f>
        <v>90481.140911062394</v>
      </c>
      <c r="I30" s="273">
        <f>'7a.EAnalysis'!AC$9</f>
        <v>26020.26629778745</v>
      </c>
      <c r="J30" s="207">
        <f>'7a.EAnalysis'!AC$10</f>
        <v>64416.447779941605</v>
      </c>
      <c r="K30" s="231">
        <f>'7a.EAnalysis'!AC$11</f>
        <v>44.426833333333335</v>
      </c>
      <c r="L30" s="80">
        <f>'7a.EAnalysis'!AC$12</f>
        <v>90049.836563236313</v>
      </c>
      <c r="M30" s="80"/>
      <c r="N30" s="272">
        <f>'7a.EAnalysis'!AC$14</f>
        <v>5.2520809421655032E-2</v>
      </c>
      <c r="O30" s="80"/>
      <c r="P30" s="420"/>
      <c r="Q30" s="260">
        <v>26</v>
      </c>
      <c r="R30" s="80">
        <f>'7a.EAnalysis'!AC$18</f>
        <v>22.652453454905128</v>
      </c>
      <c r="S30" s="332" t="str">
        <f>'7a.EAnalysis'!AC$19</f>
        <v>--</v>
      </c>
      <c r="T30" s="57">
        <f>'7a.EAnalysis'!AC$20</f>
        <v>22.652453454905128</v>
      </c>
      <c r="U30" s="331" t="s">
        <v>31</v>
      </c>
      <c r="V30" s="80">
        <f>'7a.EAnalysis'!AC$22</f>
        <v>4752.1427580438221</v>
      </c>
      <c r="W30" s="80">
        <f>'7a.EAnalysis'!AC$23</f>
        <v>1366.605447326808</v>
      </c>
      <c r="X30" s="80">
        <f>'7a.EAnalysis'!AC$24</f>
        <v>3383.2039774703067</v>
      </c>
      <c r="Y30" s="80">
        <f>'7a.EAnalysis'!AC$25</f>
        <v>2.3333332467076313</v>
      </c>
      <c r="Z30" s="80">
        <f>'7a.EAnalysis'!AC$26</f>
        <v>4729.4903045889178</v>
      </c>
    </row>
    <row r="31" spans="2:26" x14ac:dyDescent="0.55000000000000004">
      <c r="B31" s="420"/>
      <c r="C31" s="260">
        <v>27</v>
      </c>
      <c r="D31" s="80">
        <f>'7a.EAnalysis'!AD$4</f>
        <v>431.304347826087</v>
      </c>
      <c r="E31" s="333" t="str">
        <f>'7a.EAnalysis'!AD$5</f>
        <v>--</v>
      </c>
      <c r="F31" s="205">
        <f>'7a.EAnalysis'!AD$6</f>
        <v>431.304347826087</v>
      </c>
      <c r="G31" s="331" t="s">
        <v>31</v>
      </c>
      <c r="H31" s="80">
        <f>'7a.EAnalysis'!AD$8</f>
        <v>90481.140911062394</v>
      </c>
      <c r="I31" s="273">
        <f>'7a.EAnalysis'!AD$9</f>
        <v>26020.26629778745</v>
      </c>
      <c r="J31" s="207">
        <f>'7a.EAnalysis'!AD$10</f>
        <v>64416.447779941605</v>
      </c>
      <c r="K31" s="231">
        <f>'7a.EAnalysis'!AD$11</f>
        <v>44.426833333333335</v>
      </c>
      <c r="L31" s="80">
        <f>'7a.EAnalysis'!AD$12</f>
        <v>90049.836563236313</v>
      </c>
      <c r="M31" s="80"/>
      <c r="N31" s="272">
        <f>'7a.EAnalysis'!AD$14</f>
        <v>4.6893579840763415E-2</v>
      </c>
      <c r="O31" s="80"/>
      <c r="P31" s="420"/>
      <c r="Q31" s="260">
        <v>27</v>
      </c>
      <c r="R31" s="80">
        <f>'7a.EAnalysis'!AD$18</f>
        <v>20.225404870451005</v>
      </c>
      <c r="S31" s="332" t="str">
        <f>'7a.EAnalysis'!AD$19</f>
        <v>--</v>
      </c>
      <c r="T31" s="57">
        <f>'7a.EAnalysis'!AD$20</f>
        <v>20.225404870451005</v>
      </c>
      <c r="U31" s="331" t="s">
        <v>31</v>
      </c>
      <c r="V31" s="80">
        <f>'7a.EAnalysis'!AD$22</f>
        <v>4242.9846053962692</v>
      </c>
      <c r="W31" s="80">
        <f>'7a.EAnalysis'!AD$23</f>
        <v>1220.1834351132213</v>
      </c>
      <c r="X31" s="80">
        <f>'7a.EAnalysis'!AD$24</f>
        <v>3020.717837027059</v>
      </c>
      <c r="Y31" s="80">
        <f>'7a.EAnalysis'!AD$25</f>
        <v>2.0833332559889564</v>
      </c>
      <c r="Z31" s="80">
        <f>'7a.EAnalysis'!AD$26</f>
        <v>4222.7592005258184</v>
      </c>
    </row>
    <row r="32" spans="2:26" x14ac:dyDescent="0.55000000000000004">
      <c r="B32" s="420"/>
      <c r="C32" s="260">
        <v>28</v>
      </c>
      <c r="D32" s="80">
        <f>'7a.EAnalysis'!AE$4</f>
        <v>431.304347826087</v>
      </c>
      <c r="E32" s="333" t="str">
        <f>'7a.EAnalysis'!AE$5</f>
        <v>--</v>
      </c>
      <c r="F32" s="205">
        <f>'7a.EAnalysis'!AE$6</f>
        <v>431.304347826087</v>
      </c>
      <c r="G32" s="331" t="s">
        <v>31</v>
      </c>
      <c r="H32" s="80">
        <f>'7a.EAnalysis'!AE$8</f>
        <v>90481.140911062394</v>
      </c>
      <c r="I32" s="273">
        <f>'7a.EAnalysis'!AE$9</f>
        <v>26020.26629778745</v>
      </c>
      <c r="J32" s="207">
        <f>'7a.EAnalysis'!AE$10</f>
        <v>64416.447779941605</v>
      </c>
      <c r="K32" s="231">
        <f>'7a.EAnalysis'!AE$11</f>
        <v>44.426833333333335</v>
      </c>
      <c r="L32" s="80">
        <f>'7a.EAnalysis'!AE$12</f>
        <v>90049.836563236313</v>
      </c>
      <c r="M32" s="80"/>
      <c r="N32" s="272">
        <f>'7a.EAnalysis'!AE$14</f>
        <v>4.1869267714967337E-2</v>
      </c>
      <c r="O32" s="80"/>
      <c r="P32" s="420"/>
      <c r="Q32" s="260">
        <v>28</v>
      </c>
      <c r="R32" s="80">
        <f>'7a.EAnalysis'!AE$18</f>
        <v>18.058397205759828</v>
      </c>
      <c r="S32" s="332" t="str">
        <f>'7a.EAnalysis'!AE$19</f>
        <v>--</v>
      </c>
      <c r="T32" s="57">
        <f>'7a.EAnalysis'!AE$20</f>
        <v>18.058397205759828</v>
      </c>
      <c r="U32" s="331" t="s">
        <v>31</v>
      </c>
      <c r="V32" s="80">
        <f>'7a.EAnalysis'!AE$22</f>
        <v>3788.379111960955</v>
      </c>
      <c r="W32" s="80">
        <f>'7a.EAnalysis'!AE$23</f>
        <v>1089.4494956368048</v>
      </c>
      <c r="X32" s="80">
        <f>'7a.EAnalysis'!AE$24</f>
        <v>2697.0694973455884</v>
      </c>
      <c r="Y32" s="80">
        <f>'7a.EAnalysis'!AE$25</f>
        <v>1.8601189785615682</v>
      </c>
      <c r="Z32" s="80">
        <f>'7a.EAnalysis'!AE$26</f>
        <v>3770.3207147551952</v>
      </c>
    </row>
    <row r="33" spans="2:26" x14ac:dyDescent="0.55000000000000004">
      <c r="B33" s="420"/>
      <c r="C33" s="260">
        <v>29</v>
      </c>
      <c r="D33" s="80">
        <f>'7a.EAnalysis'!AF$4</f>
        <v>431.304347826087</v>
      </c>
      <c r="E33" s="333" t="str">
        <f>'7a.EAnalysis'!AF$5</f>
        <v>--</v>
      </c>
      <c r="F33" s="205">
        <f>'7a.EAnalysis'!AF$6</f>
        <v>431.304347826087</v>
      </c>
      <c r="G33" s="331" t="s">
        <v>31</v>
      </c>
      <c r="H33" s="80">
        <f>'7a.EAnalysis'!AF$8</f>
        <v>90481.140911062394</v>
      </c>
      <c r="I33" s="273">
        <f>'7a.EAnalysis'!AF$9</f>
        <v>26020.26629778745</v>
      </c>
      <c r="J33" s="207">
        <f>'7a.EAnalysis'!AF$10</f>
        <v>64416.447779941605</v>
      </c>
      <c r="K33" s="231">
        <f>'7a.EAnalysis'!AF$11</f>
        <v>44.426833333333335</v>
      </c>
      <c r="L33" s="80">
        <f>'7a.EAnalysis'!AF$12</f>
        <v>90049.836563236313</v>
      </c>
      <c r="M33" s="80"/>
      <c r="N33" s="272">
        <f>'7a.EAnalysis'!AF$14</f>
        <v>3.7383274745506546E-2</v>
      </c>
      <c r="O33" s="80"/>
      <c r="P33" s="420"/>
      <c r="Q33" s="260">
        <v>29</v>
      </c>
      <c r="R33" s="80">
        <f>'7a.EAnalysis'!AF$18</f>
        <v>16.123568933714129</v>
      </c>
      <c r="S33" s="332" t="str">
        <f>'7a.EAnalysis'!AF$19</f>
        <v>--</v>
      </c>
      <c r="T33" s="57">
        <f>'7a.EAnalysis'!AF$20</f>
        <v>16.123568933714129</v>
      </c>
      <c r="U33" s="331" t="s">
        <v>31</v>
      </c>
      <c r="V33" s="80">
        <f>'7a.EAnalysis'!AF$22</f>
        <v>3382.4813499651382</v>
      </c>
      <c r="W33" s="80">
        <f>'7a.EAnalysis'!AF$23</f>
        <v>972.72276396143275</v>
      </c>
      <c r="X33" s="80">
        <f>'7a.EAnalysis'!AF$24</f>
        <v>2408.0977654871322</v>
      </c>
      <c r="Y33" s="80">
        <f>'7a.EAnalysis'!AF$25</f>
        <v>1.6608205165728285</v>
      </c>
      <c r="Z33" s="80">
        <f>'7a.EAnalysis'!AF$26</f>
        <v>3366.3577810314241</v>
      </c>
    </row>
    <row r="34" spans="2:26" x14ac:dyDescent="0.55000000000000004">
      <c r="B34" s="420"/>
      <c r="C34" s="260">
        <v>30</v>
      </c>
      <c r="D34" s="80">
        <f>'7a.EAnalysis'!AG$4</f>
        <v>431.304347826087</v>
      </c>
      <c r="E34" s="333" t="str">
        <f>'7a.EAnalysis'!AG$5</f>
        <v>--</v>
      </c>
      <c r="F34" s="205">
        <f>'7a.EAnalysis'!AG$6</f>
        <v>431.304347826087</v>
      </c>
      <c r="G34" s="331" t="s">
        <v>31</v>
      </c>
      <c r="H34" s="80">
        <f>'7a.EAnalysis'!AG$8</f>
        <v>90481.140911062394</v>
      </c>
      <c r="I34" s="273">
        <f>'7a.EAnalysis'!AG$9</f>
        <v>26020.26629778745</v>
      </c>
      <c r="J34" s="207">
        <f>'7a.EAnalysis'!AG$10</f>
        <v>64416.447779941605</v>
      </c>
      <c r="K34" s="231">
        <f>'7a.EAnalysis'!AG$11</f>
        <v>44.426833333333335</v>
      </c>
      <c r="L34" s="80">
        <f>'7a.EAnalysis'!AG$12</f>
        <v>90049.836563236313</v>
      </c>
      <c r="M34" s="80"/>
      <c r="N34" s="272">
        <f>'7a.EAnalysis'!AG$14</f>
        <v>3.3377923879916553E-2</v>
      </c>
      <c r="O34" s="80"/>
      <c r="P34" s="422"/>
      <c r="Q34" s="260">
        <v>30</v>
      </c>
      <c r="R34" s="80">
        <f>'7a.EAnalysis'!AG$18</f>
        <v>14.396043690816184</v>
      </c>
      <c r="S34" s="332" t="str">
        <f>'7a.EAnalysis'!AG$19</f>
        <v>--</v>
      </c>
      <c r="T34" s="57">
        <f>'7a.EAnalysis'!AG$20</f>
        <v>14.396043690816184</v>
      </c>
      <c r="U34" s="331" t="s">
        <v>31</v>
      </c>
      <c r="V34" s="80">
        <f>'7a.EAnalysis'!AG$22</f>
        <v>3020.0726338974441</v>
      </c>
      <c r="W34" s="80">
        <f>'7a.EAnalysis'!AG$23</f>
        <v>868.50246782270756</v>
      </c>
      <c r="X34" s="80">
        <f>'7a.EAnalysis'!AG$24</f>
        <v>2150.0872906135105</v>
      </c>
      <c r="Y34" s="80">
        <f>'7a.EAnalysis'!AG$25</f>
        <v>1.4828754612257393</v>
      </c>
      <c r="Z34" s="80">
        <f>'7a.EAnalysis'!AG$26</f>
        <v>3005.6765902066281</v>
      </c>
    </row>
    <row r="35" spans="2:26" x14ac:dyDescent="0.55000000000000004">
      <c r="B35" s="419" t="s">
        <v>30</v>
      </c>
      <c r="C35" s="419"/>
      <c r="D35" s="56"/>
      <c r="E35" s="54"/>
      <c r="F35" s="54"/>
      <c r="G35" s="54">
        <f>'7a.EAnalysis'!AH$7</f>
        <v>0</v>
      </c>
      <c r="H35" s="54"/>
      <c r="I35" s="274"/>
      <c r="J35" s="54"/>
      <c r="K35" s="54"/>
      <c r="L35" s="54"/>
      <c r="M35" s="54"/>
      <c r="N35" s="54"/>
      <c r="O35" s="54"/>
      <c r="P35" s="419" t="s">
        <v>30</v>
      </c>
      <c r="Q35" s="419"/>
      <c r="R35" s="54"/>
      <c r="S35" s="54"/>
      <c r="T35" s="54"/>
      <c r="U35" s="54">
        <f>'7a.EAnalysis'!AH$21</f>
        <v>0</v>
      </c>
      <c r="V35" s="54"/>
      <c r="W35" s="274"/>
      <c r="X35" s="54"/>
      <c r="Y35" s="54"/>
      <c r="Z35" s="54"/>
    </row>
    <row r="37" spans="2:26" x14ac:dyDescent="0.55000000000000004">
      <c r="D37" s="276" t="str">
        <f>'7a.EAnalysis'!B28</f>
        <v>ENPV</v>
      </c>
      <c r="E37" s="262">
        <f>'7a.EAnalysis'!C28</f>
        <v>290903.21242832433</v>
      </c>
      <c r="F37" s="278" t="str">
        <f>'7a.EAnalysis'!D28</f>
        <v xml:space="preserve">  (lakh)</v>
      </c>
    </row>
    <row r="38" spans="2:26" x14ac:dyDescent="0.55000000000000004">
      <c r="D38" s="276" t="str">
        <f>'7a.EAnalysis'!B29</f>
        <v>EBCR</v>
      </c>
      <c r="E38" s="270">
        <f>'7a.EAnalysis'!C29</f>
        <v>3.5388280616854706</v>
      </c>
    </row>
    <row r="39" spans="2:26" x14ac:dyDescent="0.55000000000000004">
      <c r="D39" s="276" t="str">
        <f>'7a.EAnalysis'!B30</f>
        <v>EIRR</v>
      </c>
      <c r="E39" s="271">
        <f>'7a.EAnalysis'!C30</f>
        <v>0.34323815501412058</v>
      </c>
    </row>
  </sheetData>
  <sheetProtection sheet="1" objects="1" scenarios="1"/>
  <mergeCells count="8">
    <mergeCell ref="B35:C35"/>
    <mergeCell ref="P35:Q35"/>
    <mergeCell ref="P2:Z2"/>
    <mergeCell ref="B2:L2"/>
    <mergeCell ref="B4:C4"/>
    <mergeCell ref="P4:Q4"/>
    <mergeCell ref="B5:B34"/>
    <mergeCell ref="P5:P34"/>
  </mergeCells>
  <phoneticPr fontId="4"/>
  <printOptions horizontalCentered="1"/>
  <pageMargins left="0.7" right="0.7" top="0.75" bottom="0.75" header="0.3" footer="0.3"/>
  <pageSetup paperSize="9" scale="40" orientation="landscape"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3D88E-0D7E-4A77-8D00-EFBEA3685961}">
  <sheetPr codeName="Sheet12">
    <tabColor theme="0" tint="-0.14999847407452621"/>
  </sheetPr>
  <dimension ref="A1:D10"/>
  <sheetViews>
    <sheetView zoomScaleNormal="100" workbookViewId="0">
      <pane xSplit="1" ySplit="1" topLeftCell="B2" activePane="bottomRight" state="frozen"/>
      <selection pane="topRight" activeCell="B1" sqref="B1"/>
      <selection pane="bottomLeft" activeCell="A2" sqref="A2"/>
      <selection pane="bottomRight"/>
    </sheetView>
  </sheetViews>
  <sheetFormatPr defaultRowHeight="18" x14ac:dyDescent="0.55000000000000004"/>
  <cols>
    <col min="1" max="1" width="2.58203125" customWidth="1"/>
    <col min="2" max="2" width="41.4140625" bestFit="1" customWidth="1"/>
    <col min="3" max="13" width="10.9140625" customWidth="1"/>
  </cols>
  <sheetData>
    <row r="1" spans="1:4" s="3" customFormat="1" ht="20" x14ac:dyDescent="0.6">
      <c r="A1" s="5" t="str">
        <f>"Summary Results ("&amp;MID('0.Contents'!A1,20,(LEN('0.Contents'!A1)-20))&amp;")"</f>
        <v>Summary Results (Power Transmission)</v>
      </c>
    </row>
    <row r="2" spans="1:4" ht="18" customHeight="1" x14ac:dyDescent="0.6">
      <c r="A2" s="6"/>
      <c r="B2" s="110" t="s">
        <v>46</v>
      </c>
      <c r="C2" s="113" t="s">
        <v>79</v>
      </c>
      <c r="D2" s="116"/>
    </row>
    <row r="3" spans="1:4" x14ac:dyDescent="0.55000000000000004">
      <c r="B3" s="111" t="s">
        <v>80</v>
      </c>
      <c r="C3" s="60">
        <f>'4a.FAnalysis'!$C22</f>
        <v>2330.2590173131957</v>
      </c>
      <c r="D3" s="135" t="s">
        <v>110</v>
      </c>
    </row>
    <row r="4" spans="1:4" x14ac:dyDescent="0.55000000000000004">
      <c r="B4" s="20" t="s">
        <v>82</v>
      </c>
      <c r="C4" s="114">
        <f>'4a.FAnalysis'!$C23</f>
        <v>1.0176844325786014</v>
      </c>
    </row>
    <row r="5" spans="1:4" x14ac:dyDescent="0.55000000000000004">
      <c r="B5" s="20" t="s">
        <v>83</v>
      </c>
      <c r="C5" s="76">
        <f>'4a.FAnalysis'!$C24</f>
        <v>0.12215674012108235</v>
      </c>
    </row>
    <row r="6" spans="1:4" x14ac:dyDescent="0.55000000000000004">
      <c r="B6" s="111" t="s">
        <v>81</v>
      </c>
      <c r="C6" s="40">
        <f>'7a.EAnalysis'!$C28</f>
        <v>290903.21242832433</v>
      </c>
      <c r="D6" s="135" t="s">
        <v>110</v>
      </c>
    </row>
    <row r="7" spans="1:4" x14ac:dyDescent="0.55000000000000004">
      <c r="B7" s="20" t="s">
        <v>84</v>
      </c>
      <c r="C7" s="115">
        <f>'7a.EAnalysis'!$C29</f>
        <v>3.5388280616854706</v>
      </c>
      <c r="D7" s="115"/>
    </row>
    <row r="8" spans="1:4" x14ac:dyDescent="0.55000000000000004">
      <c r="B8" s="112" t="s">
        <v>85</v>
      </c>
      <c r="C8" s="117">
        <f>'7a.EAnalysis'!$C30</f>
        <v>0.34323815501412058</v>
      </c>
      <c r="D8" s="115"/>
    </row>
    <row r="9" spans="1:4" x14ac:dyDescent="0.55000000000000004">
      <c r="D9" s="115"/>
    </row>
    <row r="10" spans="1:4" x14ac:dyDescent="0.55000000000000004">
      <c r="B10" s="10"/>
    </row>
  </sheetData>
  <sheetProtection sheet="1" objects="1" scenarios="1"/>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DB063-FD4D-40A8-BF23-A72614F2600A}">
  <sheetPr codeName="Sheet2">
    <tabColor theme="0" tint="-0.14999847407452621"/>
  </sheetPr>
  <dimension ref="A1:R146"/>
  <sheetViews>
    <sheetView zoomScale="80" zoomScaleNormal="80" workbookViewId="0">
      <pane xSplit="1" ySplit="1" topLeftCell="B3" activePane="bottomRight" state="frozen"/>
      <selection pane="topRight" activeCell="B1" sqref="B1"/>
      <selection pane="bottomLeft" activeCell="A3" sqref="A3"/>
      <selection pane="bottomRight" activeCell="B27" sqref="B27"/>
    </sheetView>
  </sheetViews>
  <sheetFormatPr defaultRowHeight="18" x14ac:dyDescent="0.55000000000000004"/>
  <cols>
    <col min="1" max="1" width="2.58203125" customWidth="1"/>
    <col min="2" max="2" width="56.33203125" customWidth="1"/>
    <col min="3" max="3" width="10.33203125" style="126" customWidth="1"/>
    <col min="4" max="4" width="10.08203125" customWidth="1"/>
    <col min="6" max="6" width="2.58203125" customWidth="1"/>
    <col min="7" max="7" width="58.08203125" style="25" customWidth="1"/>
    <col min="8" max="8" width="10.33203125" style="129" customWidth="1"/>
    <col min="9" max="9" width="10.08203125" customWidth="1"/>
    <col min="10" max="15" width="9.75" customWidth="1"/>
  </cols>
  <sheetData>
    <row r="1" spans="1:11" s="3" customFormat="1" ht="20" x14ac:dyDescent="0.6">
      <c r="A1" s="5" t="str">
        <f>"Model Parameters ("&amp;MID('0.Contents'!A1,20,(LEN('0.Contents'!A1)-20))&amp;")"</f>
        <v>Model Parameters (Power Transmission)</v>
      </c>
      <c r="C1" s="127"/>
      <c r="F1" s="5" t="str">
        <f>"Project Assumptions/Variables ("&amp;MID('0.Contents'!A1,20,(LEN('0.Contents'!A1)-20))&amp;")"</f>
        <v>Project Assumptions/Variables (Power Transmission)</v>
      </c>
      <c r="G1" s="27"/>
      <c r="H1" s="132"/>
    </row>
    <row r="2" spans="1:11" ht="18.5" thickBot="1" x14ac:dyDescent="0.6">
      <c r="B2" s="4" t="s">
        <v>23</v>
      </c>
      <c r="C2" s="128"/>
      <c r="D2" s="181"/>
      <c r="E2" s="77"/>
      <c r="G2" s="209" t="s">
        <v>154</v>
      </c>
    </row>
    <row r="3" spans="1:11" ht="18.5" thickBot="1" x14ac:dyDescent="0.6">
      <c r="B3" s="20" t="s">
        <v>104</v>
      </c>
      <c r="C3" s="130" t="s">
        <v>101</v>
      </c>
      <c r="D3" s="336">
        <v>0.02</v>
      </c>
      <c r="E3" s="189" t="s">
        <v>230</v>
      </c>
      <c r="G3" s="29" t="s">
        <v>191</v>
      </c>
      <c r="H3" s="130" t="s">
        <v>100</v>
      </c>
      <c r="I3" s="337">
        <v>30</v>
      </c>
      <c r="J3" s="190" t="s">
        <v>137</v>
      </c>
      <c r="K3" s="191" t="s">
        <v>150</v>
      </c>
    </row>
    <row r="4" spans="1:11" ht="18.5" thickBot="1" x14ac:dyDescent="0.6">
      <c r="B4" s="20" t="s">
        <v>105</v>
      </c>
      <c r="C4" s="130" t="s">
        <v>101</v>
      </c>
      <c r="D4" s="336">
        <v>0.05</v>
      </c>
      <c r="E4" s="189" t="s">
        <v>231</v>
      </c>
      <c r="G4" s="29" t="s">
        <v>106</v>
      </c>
      <c r="H4" s="130" t="s">
        <v>100</v>
      </c>
      <c r="I4" s="337">
        <v>6</v>
      </c>
      <c r="J4" s="190" t="s">
        <v>138</v>
      </c>
      <c r="K4" s="191" t="s">
        <v>151</v>
      </c>
    </row>
    <row r="5" spans="1:11" ht="18.5" thickBot="1" x14ac:dyDescent="0.6">
      <c r="B5" s="182" t="s">
        <v>227</v>
      </c>
      <c r="C5" s="183" t="s">
        <v>101</v>
      </c>
      <c r="D5" s="289">
        <v>0.05</v>
      </c>
      <c r="E5" s="189" t="s">
        <v>231</v>
      </c>
      <c r="G5" s="209" t="s">
        <v>155</v>
      </c>
      <c r="K5" s="126"/>
    </row>
    <row r="6" spans="1:11" ht="18.5" thickBot="1" x14ac:dyDescent="0.6">
      <c r="B6" s="4"/>
      <c r="C6" s="128"/>
      <c r="D6" s="67"/>
      <c r="E6" s="189"/>
      <c r="G6" s="29" t="s">
        <v>175</v>
      </c>
      <c r="H6" s="131" t="s">
        <v>167</v>
      </c>
      <c r="I6" s="338">
        <v>1398.63</v>
      </c>
      <c r="J6" s="190" t="s">
        <v>171</v>
      </c>
      <c r="K6" s="191" t="s">
        <v>188</v>
      </c>
    </row>
    <row r="7" spans="1:11" ht="18.5" thickBot="1" x14ac:dyDescent="0.6">
      <c r="B7" s="4" t="s">
        <v>21</v>
      </c>
      <c r="C7" s="128"/>
      <c r="D7" s="75"/>
      <c r="E7" s="189"/>
      <c r="G7" s="29" t="s">
        <v>163</v>
      </c>
      <c r="H7" s="134" t="s">
        <v>101</v>
      </c>
      <c r="I7" s="339">
        <v>0.9</v>
      </c>
      <c r="J7" s="190" t="s">
        <v>233</v>
      </c>
      <c r="K7" s="191" t="s">
        <v>189</v>
      </c>
    </row>
    <row r="8" spans="1:11" ht="18.5" thickBot="1" x14ac:dyDescent="0.6">
      <c r="B8" s="20" t="s">
        <v>279</v>
      </c>
      <c r="C8" s="128"/>
      <c r="D8" s="337">
        <v>1.1499999999999999</v>
      </c>
      <c r="E8" s="189" t="s">
        <v>134</v>
      </c>
      <c r="G8" s="29" t="s">
        <v>170</v>
      </c>
      <c r="H8" s="131" t="s">
        <v>187</v>
      </c>
      <c r="I8" s="246">
        <f>$I$6*24*365*$I$7/10^3</f>
        <v>11026.798920000001</v>
      </c>
      <c r="K8" s="191"/>
    </row>
    <row r="9" spans="1:11" ht="18.5" thickBot="1" x14ac:dyDescent="0.6">
      <c r="B9" s="182" t="s">
        <v>228</v>
      </c>
      <c r="C9" s="184"/>
      <c r="D9" s="284">
        <v>1.45</v>
      </c>
      <c r="E9" s="189" t="s">
        <v>135</v>
      </c>
      <c r="G9" s="29" t="s">
        <v>164</v>
      </c>
      <c r="H9" s="134" t="s">
        <v>101</v>
      </c>
      <c r="I9" s="340">
        <v>2.7699999999999999E-2</v>
      </c>
      <c r="K9" s="213"/>
    </row>
    <row r="10" spans="1:11" ht="18.5" thickBot="1" x14ac:dyDescent="0.6">
      <c r="B10" s="4"/>
      <c r="C10" s="128"/>
      <c r="D10" s="181"/>
      <c r="E10" s="189"/>
      <c r="G10" s="29" t="s">
        <v>176</v>
      </c>
      <c r="H10" s="131" t="s">
        <v>187</v>
      </c>
      <c r="I10" s="247">
        <f>$I$8*(1-$I$9)</f>
        <v>10721.356589916002</v>
      </c>
      <c r="K10" s="126"/>
    </row>
    <row r="11" spans="1:11" ht="18.5" thickBot="1" x14ac:dyDescent="0.6">
      <c r="B11" s="4" t="s">
        <v>22</v>
      </c>
      <c r="C11" s="128"/>
      <c r="D11" s="75"/>
      <c r="E11" s="189"/>
      <c r="G11" s="29" t="s">
        <v>209</v>
      </c>
      <c r="H11" s="134" t="s">
        <v>101</v>
      </c>
      <c r="I11" s="340">
        <v>0.39179999999999998</v>
      </c>
      <c r="J11" s="190" t="s">
        <v>181</v>
      </c>
      <c r="K11" s="189"/>
    </row>
    <row r="12" spans="1:11" ht="18.5" thickBot="1" x14ac:dyDescent="0.6">
      <c r="B12" s="4" t="s">
        <v>103</v>
      </c>
      <c r="C12" s="130" t="s">
        <v>101</v>
      </c>
      <c r="D12" s="336">
        <v>0.12</v>
      </c>
      <c r="E12" s="189" t="s">
        <v>232</v>
      </c>
      <c r="G12" s="209" t="s">
        <v>156</v>
      </c>
      <c r="K12" s="126"/>
    </row>
    <row r="13" spans="1:11" ht="18.5" thickBot="1" x14ac:dyDescent="0.6">
      <c r="B13" s="4" t="s">
        <v>109</v>
      </c>
      <c r="C13" s="130" t="s">
        <v>101</v>
      </c>
      <c r="D13" s="336">
        <v>0.12</v>
      </c>
      <c r="E13" s="189" t="s">
        <v>232</v>
      </c>
      <c r="G13" s="29" t="s">
        <v>165</v>
      </c>
      <c r="H13" s="133" t="s">
        <v>108</v>
      </c>
      <c r="I13" s="341">
        <v>0.27910000000000001</v>
      </c>
      <c r="J13" s="190" t="s">
        <v>166</v>
      </c>
    </row>
    <row r="14" spans="1:11" ht="18.5" thickBot="1" x14ac:dyDescent="0.6">
      <c r="B14" s="4"/>
      <c r="C14" s="128"/>
      <c r="D14" s="285"/>
      <c r="E14" s="189"/>
      <c r="G14" s="29" t="s">
        <v>168</v>
      </c>
      <c r="H14" s="134" t="s">
        <v>169</v>
      </c>
      <c r="I14" s="248">
        <f>I10*I13*10^6/10^5</f>
        <v>29923.306242455565</v>
      </c>
      <c r="J14" s="190"/>
      <c r="K14" s="126"/>
    </row>
    <row r="15" spans="1:11" ht="18.5" thickBot="1" x14ac:dyDescent="0.6">
      <c r="B15" s="182" t="s">
        <v>229</v>
      </c>
      <c r="C15" s="183" t="s">
        <v>102</v>
      </c>
      <c r="D15" s="286">
        <v>100</v>
      </c>
      <c r="E15" s="189" t="s">
        <v>136</v>
      </c>
      <c r="G15" s="37" t="s">
        <v>205</v>
      </c>
      <c r="H15" s="133" t="s">
        <v>108</v>
      </c>
      <c r="I15" s="342">
        <v>7.49</v>
      </c>
      <c r="J15" s="190" t="s">
        <v>139</v>
      </c>
      <c r="K15" s="189"/>
    </row>
    <row r="16" spans="1:11" ht="18.5" thickBot="1" x14ac:dyDescent="0.6">
      <c r="C16" s="129"/>
      <c r="G16" s="37" t="s">
        <v>206</v>
      </c>
      <c r="H16" s="133" t="s">
        <v>108</v>
      </c>
      <c r="I16" s="342">
        <v>9.8000000000000007</v>
      </c>
      <c r="J16" s="190" t="s">
        <v>178</v>
      </c>
      <c r="K16" s="126"/>
    </row>
    <row r="17" spans="1:16" ht="18.5" thickBot="1" x14ac:dyDescent="0.6">
      <c r="B17" s="288" t="s">
        <v>132</v>
      </c>
      <c r="C17" s="179"/>
      <c r="G17" s="37" t="s">
        <v>207</v>
      </c>
      <c r="H17" s="133" t="s">
        <v>108</v>
      </c>
      <c r="I17" s="342">
        <v>12</v>
      </c>
      <c r="J17" s="190" t="s">
        <v>140</v>
      </c>
      <c r="K17" s="191" t="s">
        <v>177</v>
      </c>
    </row>
    <row r="18" spans="1:16" ht="18.5" thickBot="1" x14ac:dyDescent="0.6">
      <c r="G18" s="37" t="s">
        <v>208</v>
      </c>
      <c r="H18" s="133" t="s">
        <v>108</v>
      </c>
      <c r="I18" s="342">
        <v>12</v>
      </c>
      <c r="J18" s="190" t="s">
        <v>140</v>
      </c>
      <c r="K18" s="191" t="s">
        <v>177</v>
      </c>
    </row>
    <row r="19" spans="1:16" ht="18.5" thickBot="1" x14ac:dyDescent="0.6">
      <c r="G19" s="209" t="s">
        <v>157</v>
      </c>
      <c r="J19" s="190"/>
    </row>
    <row r="20" spans="1:16" ht="18.5" thickBot="1" x14ac:dyDescent="0.6">
      <c r="G20" s="29" t="s">
        <v>202</v>
      </c>
      <c r="H20" s="134" t="s">
        <v>107</v>
      </c>
      <c r="I20" s="343">
        <v>1332805</v>
      </c>
      <c r="J20" s="190" t="s">
        <v>184</v>
      </c>
    </row>
    <row r="21" spans="1:16" ht="18.5" thickBot="1" x14ac:dyDescent="0.6">
      <c r="G21" s="29" t="s">
        <v>203</v>
      </c>
      <c r="H21" s="131" t="s">
        <v>101</v>
      </c>
      <c r="I21" s="336">
        <v>0.01</v>
      </c>
      <c r="J21" s="190" t="s">
        <v>234</v>
      </c>
    </row>
    <row r="22" spans="1:16" ht="18.5" thickBot="1" x14ac:dyDescent="0.6">
      <c r="G22" s="29" t="s">
        <v>204</v>
      </c>
      <c r="H22" s="130" t="s">
        <v>182</v>
      </c>
      <c r="I22" s="343">
        <v>1000</v>
      </c>
      <c r="J22" s="190" t="s">
        <v>183</v>
      </c>
    </row>
    <row r="23" spans="1:16" ht="18.5" thickBot="1" x14ac:dyDescent="0.6">
      <c r="G23" s="209" t="s">
        <v>185</v>
      </c>
    </row>
    <row r="24" spans="1:16" ht="18.5" thickBot="1" x14ac:dyDescent="0.6">
      <c r="G24" s="29" t="s">
        <v>277</v>
      </c>
      <c r="H24" s="134" t="s">
        <v>107</v>
      </c>
      <c r="I24" s="336">
        <f>1/3</f>
        <v>0.33333333333333331</v>
      </c>
      <c r="J24" s="190" t="s">
        <v>186</v>
      </c>
    </row>
    <row r="25" spans="1:16" x14ac:dyDescent="0.55000000000000004">
      <c r="H25" s="162"/>
    </row>
    <row r="26" spans="1:16" s="3" customFormat="1" ht="20" x14ac:dyDescent="0.6">
      <c r="A26" s="5" t="str">
        <f>"Sensitivity Analysis ("&amp;MID('0.Contents'!A1,20,(LEN('0.Contents'!A1)-20))&amp;")"</f>
        <v>Sensitivity Analysis (Power Transmission)</v>
      </c>
      <c r="C26" s="127"/>
      <c r="G26" s="27"/>
      <c r="H26" s="132"/>
    </row>
    <row r="27" spans="1:16" ht="20" x14ac:dyDescent="0.6">
      <c r="B27" s="4" t="s">
        <v>122</v>
      </c>
      <c r="C27" s="131" t="s">
        <v>101</v>
      </c>
      <c r="D27" s="287">
        <v>1</v>
      </c>
      <c r="E27" s="189" t="s">
        <v>141</v>
      </c>
      <c r="F27" s="6"/>
      <c r="G27" s="373" t="s">
        <v>114</v>
      </c>
      <c r="H27" s="156"/>
      <c r="I27" s="375" t="s">
        <v>79</v>
      </c>
      <c r="J27" s="377" t="s">
        <v>98</v>
      </c>
      <c r="K27" s="378"/>
      <c r="L27" s="379"/>
      <c r="M27" s="378" t="s">
        <v>99</v>
      </c>
      <c r="N27" s="378"/>
      <c r="O27" s="378"/>
    </row>
    <row r="28" spans="1:16" ht="20" x14ac:dyDescent="0.6">
      <c r="B28" s="4" t="s">
        <v>123</v>
      </c>
      <c r="C28" s="131" t="s">
        <v>101</v>
      </c>
      <c r="D28" s="287">
        <v>1</v>
      </c>
      <c r="E28" s="189" t="s">
        <v>141</v>
      </c>
      <c r="F28" s="6"/>
      <c r="G28" s="374"/>
      <c r="H28" s="157"/>
      <c r="I28" s="376"/>
      <c r="J28" s="158" t="s">
        <v>111</v>
      </c>
      <c r="K28" s="11" t="s">
        <v>112</v>
      </c>
      <c r="L28" s="159" t="s">
        <v>113</v>
      </c>
      <c r="M28" s="11" t="s">
        <v>111</v>
      </c>
      <c r="N28" s="11" t="s">
        <v>112</v>
      </c>
      <c r="O28" s="11" t="s">
        <v>113</v>
      </c>
    </row>
    <row r="29" spans="1:16" ht="20" x14ac:dyDescent="0.6">
      <c r="F29" s="6"/>
      <c r="G29" s="38" t="s">
        <v>119</v>
      </c>
      <c r="H29" s="138" t="s">
        <v>120</v>
      </c>
      <c r="I29" s="165">
        <f>D27</f>
        <v>1</v>
      </c>
      <c r="J29" s="143">
        <f>'4a.FAnalysis'!$C$22</f>
        <v>2330.2590173131957</v>
      </c>
      <c r="K29" s="193">
        <f>'4a.FAnalysis'!$C$23</f>
        <v>1.0176844325786014</v>
      </c>
      <c r="L29" s="144">
        <f>'4a.FAnalysis'!$C$24</f>
        <v>0.12215674012108235</v>
      </c>
      <c r="M29" s="41">
        <f>'7a.EAnalysis'!$C$28</f>
        <v>290903.21242832433</v>
      </c>
      <c r="N29" s="193">
        <f>'7a.EAnalysis'!$C$29</f>
        <v>3.5388280616854706</v>
      </c>
      <c r="O29" s="139">
        <f>'7a.EAnalysis'!$C$30</f>
        <v>0.34323815501412058</v>
      </c>
      <c r="P29" s="191" t="s">
        <v>149</v>
      </c>
    </row>
    <row r="30" spans="1:16" ht="20" x14ac:dyDescent="0.6">
      <c r="F30" s="6"/>
      <c r="I30" s="344">
        <v>0.8</v>
      </c>
      <c r="J30" s="145">
        <f t="dataTable" ref="J30:O34" dt2D="0" dtr="0" r1="D27" ca="1"/>
        <v>-24489.58171272053</v>
      </c>
      <c r="K30" s="188">
        <v>0.81414754606288098</v>
      </c>
      <c r="L30" s="146">
        <v>9.607120634994315E-2</v>
      </c>
      <c r="M30" s="39">
        <v>209806.23174564104</v>
      </c>
      <c r="N30" s="188">
        <v>2.8310624493483778</v>
      </c>
      <c r="O30" s="140">
        <v>0.29161849185461808</v>
      </c>
    </row>
    <row r="31" spans="1:16" ht="20" x14ac:dyDescent="0.6">
      <c r="F31" s="6"/>
      <c r="I31" s="344">
        <v>0.9</v>
      </c>
      <c r="J31" s="145">
        <v>-11079.661347703663</v>
      </c>
      <c r="K31" s="188">
        <v>0.91591598932074125</v>
      </c>
      <c r="L31" s="146">
        <v>0.1094787372277064</v>
      </c>
      <c r="M31" s="39">
        <v>250354.72208698269</v>
      </c>
      <c r="N31" s="188">
        <v>3.1849452555169235</v>
      </c>
      <c r="O31" s="140">
        <v>0.31808242319192237</v>
      </c>
    </row>
    <row r="32" spans="1:16" ht="20" x14ac:dyDescent="0.6">
      <c r="F32" s="6"/>
      <c r="I32" s="344">
        <v>1</v>
      </c>
      <c r="J32" s="145">
        <v>2330.2590173131957</v>
      </c>
      <c r="K32" s="188">
        <v>1.0176844325786014</v>
      </c>
      <c r="L32" s="146">
        <v>0.12215674012108235</v>
      </c>
      <c r="M32" s="39">
        <v>290903.21242832433</v>
      </c>
      <c r="N32" s="188">
        <v>3.5388280616854706</v>
      </c>
      <c r="O32" s="140">
        <v>0.34323815501412058</v>
      </c>
    </row>
    <row r="33" spans="6:16" ht="20" x14ac:dyDescent="0.6">
      <c r="F33" s="6"/>
      <c r="I33" s="344">
        <v>1.1000000000000001</v>
      </c>
      <c r="J33" s="145">
        <v>15740.179382330087</v>
      </c>
      <c r="K33" s="188">
        <v>1.1194528758364615</v>
      </c>
      <c r="L33" s="146">
        <v>0.13423195471548288</v>
      </c>
      <c r="M33" s="39">
        <v>331451.7027696658</v>
      </c>
      <c r="N33" s="188">
        <v>3.8927108678540199</v>
      </c>
      <c r="O33" s="140">
        <v>0.36725233720668049</v>
      </c>
    </row>
    <row r="34" spans="6:16" ht="20" x14ac:dyDescent="0.6">
      <c r="F34" s="6"/>
      <c r="G34" s="180"/>
      <c r="H34" s="141"/>
      <c r="I34" s="345">
        <v>1.2</v>
      </c>
      <c r="J34" s="147">
        <v>29150.099747346903</v>
      </c>
      <c r="K34" s="196">
        <v>1.2212213190943215</v>
      </c>
      <c r="L34" s="148">
        <v>0.14579800189769454</v>
      </c>
      <c r="M34" s="44">
        <v>372000.19311100757</v>
      </c>
      <c r="N34" s="196">
        <v>4.2465936740225638</v>
      </c>
      <c r="O34" s="118">
        <v>0.39025718402208298</v>
      </c>
    </row>
    <row r="35" spans="6:16" ht="20" x14ac:dyDescent="0.6">
      <c r="F35" s="6"/>
      <c r="G35" s="373" t="s">
        <v>114</v>
      </c>
      <c r="H35" s="156"/>
      <c r="I35" s="375" t="s">
        <v>79</v>
      </c>
      <c r="J35" s="377" t="s">
        <v>98</v>
      </c>
      <c r="K35" s="378"/>
      <c r="L35" s="379"/>
      <c r="M35" s="378" t="s">
        <v>99</v>
      </c>
      <c r="N35" s="378"/>
      <c r="O35" s="378"/>
    </row>
    <row r="36" spans="6:16" ht="20" x14ac:dyDescent="0.6">
      <c r="F36" s="6"/>
      <c r="G36" s="374"/>
      <c r="H36" s="157"/>
      <c r="I36" s="376"/>
      <c r="J36" s="158" t="s">
        <v>111</v>
      </c>
      <c r="K36" s="11" t="s">
        <v>112</v>
      </c>
      <c r="L36" s="159" t="s">
        <v>113</v>
      </c>
      <c r="M36" s="11" t="s">
        <v>111</v>
      </c>
      <c r="N36" s="11" t="s">
        <v>112</v>
      </c>
      <c r="O36" s="11" t="s">
        <v>113</v>
      </c>
    </row>
    <row r="37" spans="6:16" ht="20" x14ac:dyDescent="0.6">
      <c r="F37" s="6"/>
      <c r="G37" s="38" t="s">
        <v>121</v>
      </c>
      <c r="H37" s="138" t="s">
        <v>120</v>
      </c>
      <c r="I37" s="165">
        <f>D28</f>
        <v>1</v>
      </c>
      <c r="J37" s="143">
        <f>'4a.FAnalysis'!$C$22</f>
        <v>2330.2590173131957</v>
      </c>
      <c r="K37" s="193">
        <f>'4a.FAnalysis'!$C$23</f>
        <v>1.0176844325786014</v>
      </c>
      <c r="L37" s="144">
        <f>'4a.FAnalysis'!$C$24</f>
        <v>0.12215674012108235</v>
      </c>
      <c r="M37" s="41">
        <f>'7a.EAnalysis'!$C$28</f>
        <v>290903.21242832433</v>
      </c>
      <c r="N37" s="193">
        <f>'7a.EAnalysis'!$C$29</f>
        <v>3.5388280616854706</v>
      </c>
      <c r="O37" s="139">
        <f>'7a.EAnalysis'!$C$30</f>
        <v>0.34323815501412058</v>
      </c>
      <c r="P37" s="191" t="s">
        <v>149</v>
      </c>
    </row>
    <row r="38" spans="6:16" ht="20" x14ac:dyDescent="0.6">
      <c r="F38" s="6"/>
      <c r="I38" s="344">
        <v>0.8</v>
      </c>
      <c r="J38" s="145">
        <f t="dataTable" ref="J38:O42" dt2D="0" dtr="0" r1="D28"/>
        <v>28684.047943884281</v>
      </c>
      <c r="K38" s="188">
        <v>1.2721055407232518</v>
      </c>
      <c r="L38" s="146">
        <v>0.15141299392552354</v>
      </c>
      <c r="M38" s="39">
        <v>313819.55062534264</v>
      </c>
      <c r="N38" s="188">
        <v>4.4235350771068394</v>
      </c>
      <c r="O38" s="140">
        <v>0.40141551879252302</v>
      </c>
    </row>
    <row r="39" spans="6:16" ht="20" x14ac:dyDescent="0.6">
      <c r="F39" s="6"/>
      <c r="I39" s="344">
        <v>0.9</v>
      </c>
      <c r="J39" s="145">
        <v>15507.153480598732</v>
      </c>
      <c r="K39" s="188">
        <v>1.1307604806428904</v>
      </c>
      <c r="L39" s="146">
        <v>0.13554074956211837</v>
      </c>
      <c r="M39" s="39">
        <v>302361.38152683346</v>
      </c>
      <c r="N39" s="188">
        <v>3.932031179650525</v>
      </c>
      <c r="O39" s="140">
        <v>0.36985612165551052</v>
      </c>
    </row>
    <row r="40" spans="6:16" ht="20" x14ac:dyDescent="0.6">
      <c r="F40" s="6"/>
      <c r="I40" s="344">
        <v>1</v>
      </c>
      <c r="J40" s="145">
        <v>2330.2590173131957</v>
      </c>
      <c r="K40" s="188">
        <v>1.0176844325786014</v>
      </c>
      <c r="L40" s="146">
        <v>0.12215674012108235</v>
      </c>
      <c r="M40" s="39">
        <v>290903.21242832433</v>
      </c>
      <c r="N40" s="188">
        <v>3.5388280616854706</v>
      </c>
      <c r="O40" s="140">
        <v>0.34323815501412058</v>
      </c>
    </row>
    <row r="41" spans="6:16" ht="20" x14ac:dyDescent="0.6">
      <c r="F41" s="6"/>
      <c r="I41" s="344">
        <v>1.1000000000000001</v>
      </c>
      <c r="J41" s="145">
        <v>-10846.635445972377</v>
      </c>
      <c r="K41" s="188">
        <v>0.92516766598054689</v>
      </c>
      <c r="L41" s="146">
        <v>0.11065922690868701</v>
      </c>
      <c r="M41" s="39">
        <v>279445.04332981515</v>
      </c>
      <c r="N41" s="188">
        <v>3.2171164197140665</v>
      </c>
      <c r="O41" s="140">
        <v>0.32042055924238588</v>
      </c>
    </row>
    <row r="42" spans="6:16" ht="20" x14ac:dyDescent="0.6">
      <c r="F42" s="6"/>
      <c r="G42" s="180"/>
      <c r="H42" s="141"/>
      <c r="I42" s="345">
        <v>1.2</v>
      </c>
      <c r="J42" s="147">
        <v>-24023.529909257915</v>
      </c>
      <c r="K42" s="196">
        <v>0.84807036048216777</v>
      </c>
      <c r="L42" s="148">
        <v>0.10063109326026609</v>
      </c>
      <c r="M42" s="44">
        <v>267986.87423130579</v>
      </c>
      <c r="N42" s="196">
        <v>2.9490233847378926</v>
      </c>
      <c r="O42" s="118">
        <v>0.30059729222486586</v>
      </c>
    </row>
    <row r="43" spans="6:16" x14ac:dyDescent="0.55000000000000004">
      <c r="G43" s="373" t="s">
        <v>114</v>
      </c>
      <c r="H43" s="156"/>
      <c r="I43" s="375" t="s">
        <v>79</v>
      </c>
      <c r="J43" s="377" t="s">
        <v>98</v>
      </c>
      <c r="K43" s="378"/>
      <c r="L43" s="379"/>
      <c r="M43" s="378" t="s">
        <v>99</v>
      </c>
      <c r="N43" s="378"/>
      <c r="O43" s="378"/>
    </row>
    <row r="44" spans="6:16" x14ac:dyDescent="0.55000000000000004">
      <c r="G44" s="374"/>
      <c r="H44" s="157"/>
      <c r="I44" s="376"/>
      <c r="J44" s="158" t="s">
        <v>111</v>
      </c>
      <c r="K44" s="11" t="s">
        <v>112</v>
      </c>
      <c r="L44" s="159" t="s">
        <v>113</v>
      </c>
      <c r="M44" s="11" t="s">
        <v>111</v>
      </c>
      <c r="N44" s="11" t="s">
        <v>112</v>
      </c>
      <c r="O44" s="11" t="s">
        <v>113</v>
      </c>
    </row>
    <row r="45" spans="6:16" x14ac:dyDescent="0.55000000000000004">
      <c r="G45" s="38" t="str">
        <f>G6</f>
        <v>Incremental Load Flow/Total Capacity to be Increased</v>
      </c>
      <c r="H45" s="138" t="str">
        <f>H6</f>
        <v>(MW/hour)</v>
      </c>
      <c r="I45" s="234">
        <f>I6</f>
        <v>1398.63</v>
      </c>
      <c r="J45" s="143">
        <f>'4a.FAnalysis'!$C$22</f>
        <v>2330.2590173131957</v>
      </c>
      <c r="K45" s="193">
        <f>'4a.FAnalysis'!$C$23</f>
        <v>1.0176844325786014</v>
      </c>
      <c r="L45" s="144">
        <f>'4a.FAnalysis'!$C$24</f>
        <v>0.12215674012108235</v>
      </c>
      <c r="M45" s="41">
        <f>'7a.EAnalysis'!$C$28</f>
        <v>290903.21242832433</v>
      </c>
      <c r="N45" s="193">
        <f>'7a.EAnalysis'!$C$29</f>
        <v>3.5388280616854706</v>
      </c>
      <c r="O45" s="139">
        <f>'7a.EAnalysis'!$C$30</f>
        <v>0.34323815501412058</v>
      </c>
      <c r="P45" s="191" t="s">
        <v>149</v>
      </c>
    </row>
    <row r="46" spans="6:16" x14ac:dyDescent="0.55000000000000004">
      <c r="I46" s="346">
        <v>1118.9040000000002</v>
      </c>
      <c r="J46" s="145">
        <f t="dataTable" ref="J46:O50" dt2D="0" dtr="0" r1="I6" ca="1"/>
        <v>-24489.58171272053</v>
      </c>
      <c r="K46" s="188">
        <v>0.81414754606288098</v>
      </c>
      <c r="L46" s="146">
        <v>9.607120634994315E-2</v>
      </c>
      <c r="M46" s="39">
        <v>209846.05089478468</v>
      </c>
      <c r="N46" s="188">
        <v>2.8314099669037671</v>
      </c>
      <c r="O46" s="140">
        <v>0.29164518728426048</v>
      </c>
    </row>
    <row r="47" spans="6:16" x14ac:dyDescent="0.55000000000000004">
      <c r="I47" s="346">
        <v>1258.7670000000001</v>
      </c>
      <c r="J47" s="145">
        <v>-11079.661347703663</v>
      </c>
      <c r="K47" s="188">
        <v>0.91591598932074125</v>
      </c>
      <c r="L47" s="146">
        <v>0.1094787372277064</v>
      </c>
      <c r="M47" s="39">
        <v>250374.63166155454</v>
      </c>
      <c r="N47" s="188">
        <v>3.1851190142946191</v>
      </c>
      <c r="O47" s="140">
        <v>0.31809508045585422</v>
      </c>
    </row>
    <row r="48" spans="6:16" x14ac:dyDescent="0.55000000000000004">
      <c r="I48" s="346">
        <v>1398.63</v>
      </c>
      <c r="J48" s="145">
        <v>2330.2590173131957</v>
      </c>
      <c r="K48" s="188">
        <v>1.0176844325786014</v>
      </c>
      <c r="L48" s="146">
        <v>0.12215674012108235</v>
      </c>
      <c r="M48" s="39">
        <v>290903.21242832433</v>
      </c>
      <c r="N48" s="188">
        <v>3.5388280616854706</v>
      </c>
      <c r="O48" s="140">
        <v>0.34323815501412058</v>
      </c>
    </row>
    <row r="49" spans="7:18" x14ac:dyDescent="0.55000000000000004">
      <c r="I49" s="346">
        <v>1538.4930000000002</v>
      </c>
      <c r="J49" s="145">
        <v>15740.179382330047</v>
      </c>
      <c r="K49" s="188">
        <v>1.1194528758364612</v>
      </c>
      <c r="L49" s="146">
        <v>0.13423195471548288</v>
      </c>
      <c r="M49" s="39">
        <v>331431.79319509392</v>
      </c>
      <c r="N49" s="188">
        <v>3.8925371090763234</v>
      </c>
      <c r="O49" s="140">
        <v>0.36724080344874466</v>
      </c>
    </row>
    <row r="50" spans="7:18" x14ac:dyDescent="0.55000000000000004">
      <c r="G50" s="180"/>
      <c r="H50" s="141"/>
      <c r="I50" s="347">
        <v>1678.356</v>
      </c>
      <c r="J50" s="147">
        <v>29150.099747346867</v>
      </c>
      <c r="K50" s="196">
        <v>1.2212213190943213</v>
      </c>
      <c r="L50" s="148">
        <v>0.14579800189769454</v>
      </c>
      <c r="M50" s="44">
        <v>371960.37396186369</v>
      </c>
      <c r="N50" s="196">
        <v>4.2462461564671727</v>
      </c>
      <c r="O50" s="118">
        <v>0.39023505121913771</v>
      </c>
    </row>
    <row r="51" spans="7:18" x14ac:dyDescent="0.55000000000000004">
      <c r="G51" s="373" t="s">
        <v>114</v>
      </c>
      <c r="H51" s="128"/>
      <c r="I51" s="383" t="s">
        <v>79</v>
      </c>
      <c r="J51" s="377" t="s">
        <v>98</v>
      </c>
      <c r="K51" s="378"/>
      <c r="L51" s="379"/>
      <c r="M51" s="380" t="s">
        <v>99</v>
      </c>
      <c r="N51" s="380"/>
      <c r="O51" s="380"/>
    </row>
    <row r="52" spans="7:18" x14ac:dyDescent="0.55000000000000004">
      <c r="G52" s="374"/>
      <c r="H52" s="128"/>
      <c r="I52" s="384"/>
      <c r="J52" s="160" t="s">
        <v>111</v>
      </c>
      <c r="K52" s="79" t="s">
        <v>112</v>
      </c>
      <c r="L52" s="161" t="s">
        <v>113</v>
      </c>
      <c r="M52" s="79" t="s">
        <v>111</v>
      </c>
      <c r="N52" s="79" t="s">
        <v>112</v>
      </c>
      <c r="O52" s="79" t="s">
        <v>113</v>
      </c>
    </row>
    <row r="53" spans="7:18" x14ac:dyDescent="0.55000000000000004">
      <c r="G53" s="38" t="str">
        <f>G11</f>
        <v>Percent of Electricity Transmitted to Commercial Customers</v>
      </c>
      <c r="H53" s="138" t="str">
        <f>H11</f>
        <v>(%)</v>
      </c>
      <c r="I53" s="155">
        <f>I11</f>
        <v>0.39179999999999998</v>
      </c>
      <c r="J53" s="143">
        <f>'4a.FAnalysis'!$C$22</f>
        <v>2330.2590173131957</v>
      </c>
      <c r="K53" s="193">
        <f>'4a.FAnalysis'!$C$23</f>
        <v>1.0176844325786014</v>
      </c>
      <c r="L53" s="144">
        <f>'4a.FAnalysis'!$C$24</f>
        <v>0.12215674012108235</v>
      </c>
      <c r="M53" s="41">
        <f>'7a.EAnalysis'!$C$28</f>
        <v>290903.21242832433</v>
      </c>
      <c r="N53" s="193">
        <f>'7a.EAnalysis'!$C$29</f>
        <v>3.5388280616854706</v>
      </c>
      <c r="O53" s="139">
        <f>'7a.EAnalysis'!$C$30</f>
        <v>0.34323815501412058</v>
      </c>
      <c r="P53" s="191" t="s">
        <v>149</v>
      </c>
    </row>
    <row r="54" spans="7:18" x14ac:dyDescent="0.55000000000000004">
      <c r="I54" s="348">
        <v>0.3</v>
      </c>
      <c r="J54" s="149">
        <f t="dataTable" ref="J54:O58" dt2D="0" dtr="0" r1="I11" ca="1"/>
        <v>2330.2590173131957</v>
      </c>
      <c r="K54" s="188">
        <v>1.0176844325786014</v>
      </c>
      <c r="L54" s="146">
        <v>0.12215674012108235</v>
      </c>
      <c r="M54" s="39">
        <v>307884.46701308916</v>
      </c>
      <c r="N54" s="188">
        <v>3.6870302259123404</v>
      </c>
      <c r="O54" s="140">
        <v>0.35342569275310498</v>
      </c>
    </row>
    <row r="55" spans="7:18" x14ac:dyDescent="0.55000000000000004">
      <c r="I55" s="348">
        <v>0.35</v>
      </c>
      <c r="J55" s="149">
        <v>2330.2590173131957</v>
      </c>
      <c r="K55" s="188">
        <v>1.0176844325786014</v>
      </c>
      <c r="L55" s="146">
        <v>0.12215674012108235</v>
      </c>
      <c r="M55" s="39">
        <v>298635.41767498193</v>
      </c>
      <c r="N55" s="188">
        <v>3.6063100928911687</v>
      </c>
      <c r="O55" s="140">
        <v>0.3479010608746218</v>
      </c>
    </row>
    <row r="56" spans="7:18" x14ac:dyDescent="0.55000000000000004">
      <c r="I56" s="348">
        <v>0.39179999999999998</v>
      </c>
      <c r="J56" s="149">
        <v>2330.2590173131957</v>
      </c>
      <c r="K56" s="188">
        <v>1.0176844325786014</v>
      </c>
      <c r="L56" s="146">
        <v>0.12215674012108235</v>
      </c>
      <c r="M56" s="39">
        <v>290903.21242832433</v>
      </c>
      <c r="N56" s="188">
        <v>3.5388280616854706</v>
      </c>
      <c r="O56" s="140">
        <v>0.34323815501412058</v>
      </c>
    </row>
    <row r="57" spans="7:18" x14ac:dyDescent="0.55000000000000004">
      <c r="I57" s="348">
        <v>0.45</v>
      </c>
      <c r="J57" s="149">
        <v>2330.2590173131957</v>
      </c>
      <c r="K57" s="188">
        <v>1.0176844325786014</v>
      </c>
      <c r="L57" s="146">
        <v>0.12215674012108235</v>
      </c>
      <c r="M57" s="39">
        <v>280137.31899876735</v>
      </c>
      <c r="N57" s="188">
        <v>3.4448698268488283</v>
      </c>
      <c r="O57" s="140">
        <v>0.33667658858661609</v>
      </c>
    </row>
    <row r="58" spans="7:18" x14ac:dyDescent="0.55000000000000004">
      <c r="G58" s="180"/>
      <c r="H58" s="141"/>
      <c r="I58" s="349">
        <v>0.5</v>
      </c>
      <c r="J58" s="150">
        <v>2330.2590173131957</v>
      </c>
      <c r="K58" s="196">
        <v>1.0176844325786014</v>
      </c>
      <c r="L58" s="148">
        <v>0.12215674012108235</v>
      </c>
      <c r="M58" s="44">
        <v>270888.26966066001</v>
      </c>
      <c r="N58" s="196">
        <v>3.3641496938276578</v>
      </c>
      <c r="O58" s="118">
        <v>0.33097324015309582</v>
      </c>
    </row>
    <row r="59" spans="7:18" x14ac:dyDescent="0.55000000000000004">
      <c r="G59" s="373" t="s">
        <v>114</v>
      </c>
      <c r="H59" s="128"/>
      <c r="I59" s="375" t="s">
        <v>79</v>
      </c>
      <c r="J59" s="381" t="s">
        <v>98</v>
      </c>
      <c r="K59" s="380"/>
      <c r="L59" s="382"/>
      <c r="M59" s="380" t="s">
        <v>99</v>
      </c>
      <c r="N59" s="380"/>
      <c r="O59" s="380"/>
    </row>
    <row r="60" spans="7:18" x14ac:dyDescent="0.55000000000000004">
      <c r="G60" s="374"/>
      <c r="H60" s="128"/>
      <c r="I60" s="376"/>
      <c r="J60" s="160" t="s">
        <v>111</v>
      </c>
      <c r="K60" s="79" t="s">
        <v>112</v>
      </c>
      <c r="L60" s="161" t="s">
        <v>113</v>
      </c>
      <c r="M60" s="79" t="s">
        <v>111</v>
      </c>
      <c r="N60" s="79" t="s">
        <v>112</v>
      </c>
      <c r="O60" s="79" t="s">
        <v>113</v>
      </c>
    </row>
    <row r="61" spans="7:18" x14ac:dyDescent="0.55000000000000004">
      <c r="G61" s="38" t="str">
        <f>G13</f>
        <v>Wheeling Charge</v>
      </c>
      <c r="H61" s="142" t="str">
        <f>H13</f>
        <v>(BDT/kWh)</v>
      </c>
      <c r="I61" s="236">
        <f>I13</f>
        <v>0.27910000000000001</v>
      </c>
      <c r="J61" s="151">
        <f>'4a.FAnalysis'!$C$22</f>
        <v>2330.2590173131957</v>
      </c>
      <c r="K61" s="193">
        <f>'4a.FAnalysis'!$C$23</f>
        <v>1.0176844325786014</v>
      </c>
      <c r="L61" s="144">
        <f>'4a.FAnalysis'!$C$24</f>
        <v>0.12215674012108235</v>
      </c>
      <c r="M61" s="41">
        <f>'7a.EAnalysis'!$C$28</f>
        <v>290903.21242832433</v>
      </c>
      <c r="N61" s="193">
        <f>'7a.EAnalysis'!$C$29</f>
        <v>3.5388280616854706</v>
      </c>
      <c r="O61" s="139">
        <f>'7a.EAnalysis'!$C$30</f>
        <v>0.34323815501412058</v>
      </c>
      <c r="P61" s="191" t="s">
        <v>149</v>
      </c>
      <c r="Q61" s="125"/>
      <c r="R61" s="78"/>
    </row>
    <row r="62" spans="7:18" x14ac:dyDescent="0.55000000000000004">
      <c r="I62" s="350">
        <v>0.25119000000000002</v>
      </c>
      <c r="J62" s="149">
        <f t="dataTable" ref="J62:O66" dt2D="0" dtr="0" r1="I13" ca="1"/>
        <v>-11079.661347703663</v>
      </c>
      <c r="K62" s="188">
        <v>0.91591598932074125</v>
      </c>
      <c r="L62" s="152">
        <v>0.1094787372277064</v>
      </c>
      <c r="M62" s="39">
        <v>279242.41211091838</v>
      </c>
      <c r="N62" s="188">
        <v>3.4370596184276114</v>
      </c>
      <c r="O62" s="140">
        <v>0.33612746181252495</v>
      </c>
    </row>
    <row r="63" spans="7:18" x14ac:dyDescent="0.55000000000000004">
      <c r="I63" s="350">
        <v>0.26514500000000002</v>
      </c>
      <c r="J63" s="149">
        <v>-4374.7011651952407</v>
      </c>
      <c r="K63" s="188">
        <v>0.96680021094967172</v>
      </c>
      <c r="L63" s="152">
        <v>0.11590007003782299</v>
      </c>
      <c r="M63" s="39">
        <v>285072.81226962124</v>
      </c>
      <c r="N63" s="188">
        <v>3.4879438400565408</v>
      </c>
      <c r="O63" s="140">
        <v>0.33969480210930914</v>
      </c>
    </row>
    <row r="64" spans="7:18" x14ac:dyDescent="0.55000000000000004">
      <c r="I64" s="350">
        <v>0.27910000000000001</v>
      </c>
      <c r="J64" s="149">
        <v>2330.2590173131957</v>
      </c>
      <c r="K64" s="188">
        <v>1.0176844325786014</v>
      </c>
      <c r="L64" s="152">
        <v>0.12215674012108235</v>
      </c>
      <c r="M64" s="39">
        <v>290903.21242832433</v>
      </c>
      <c r="N64" s="188">
        <v>3.5388280616854706</v>
      </c>
      <c r="O64" s="140">
        <v>0.34323815501412058</v>
      </c>
    </row>
    <row r="65" spans="7:16" x14ac:dyDescent="0.55000000000000004">
      <c r="I65" s="350">
        <v>0.29305500000000001</v>
      </c>
      <c r="J65" s="149">
        <v>9035.2191998216149</v>
      </c>
      <c r="K65" s="188">
        <v>1.068568654207531</v>
      </c>
      <c r="L65" s="152">
        <v>0.12826321768075921</v>
      </c>
      <c r="M65" s="39">
        <v>296733.61258702725</v>
      </c>
      <c r="N65" s="188">
        <v>3.5897122833144022</v>
      </c>
      <c r="O65" s="140">
        <v>0.34675796302502371</v>
      </c>
    </row>
    <row r="66" spans="7:16" x14ac:dyDescent="0.55000000000000004">
      <c r="G66" s="180"/>
      <c r="H66" s="141"/>
      <c r="I66" s="351">
        <v>0.30701000000000006</v>
      </c>
      <c r="J66" s="150">
        <v>15740.179382330087</v>
      </c>
      <c r="K66" s="196">
        <v>1.1194528758364615</v>
      </c>
      <c r="L66" s="153">
        <v>0.13423195471548288</v>
      </c>
      <c r="M66" s="44">
        <v>302564.01274573029</v>
      </c>
      <c r="N66" s="196">
        <v>3.6405965049433315</v>
      </c>
      <c r="O66" s="118">
        <v>0.35025465434146152</v>
      </c>
    </row>
    <row r="67" spans="7:16" x14ac:dyDescent="0.55000000000000004">
      <c r="G67" s="373" t="s">
        <v>114</v>
      </c>
      <c r="H67" s="128"/>
      <c r="I67" s="375" t="s">
        <v>79</v>
      </c>
      <c r="J67" s="381" t="s">
        <v>98</v>
      </c>
      <c r="K67" s="380"/>
      <c r="L67" s="382"/>
      <c r="M67" s="380" t="s">
        <v>99</v>
      </c>
      <c r="N67" s="380"/>
      <c r="O67" s="380"/>
    </row>
    <row r="68" spans="7:16" x14ac:dyDescent="0.55000000000000004">
      <c r="G68" s="374"/>
      <c r="H68" s="128"/>
      <c r="I68" s="376"/>
      <c r="J68" s="160" t="s">
        <v>111</v>
      </c>
      <c r="K68" s="79" t="s">
        <v>112</v>
      </c>
      <c r="L68" s="161" t="s">
        <v>113</v>
      </c>
      <c r="M68" s="79" t="s">
        <v>111</v>
      </c>
      <c r="N68" s="79" t="s">
        <v>112</v>
      </c>
      <c r="O68" s="79" t="s">
        <v>113</v>
      </c>
    </row>
    <row r="69" spans="7:16" x14ac:dyDescent="0.55000000000000004">
      <c r="G69" s="38" t="str">
        <f>G15</f>
        <v>Average Sales Rate for Residential</v>
      </c>
      <c r="H69" s="138" t="str">
        <f>H15</f>
        <v>(BDT/kWh)</v>
      </c>
      <c r="I69" s="154">
        <f>I15</f>
        <v>7.49</v>
      </c>
      <c r="J69" s="151">
        <f>'4a.FAnalysis'!$C$22</f>
        <v>2330.2590173131957</v>
      </c>
      <c r="K69" s="193">
        <f>'4a.FAnalysis'!$C$23</f>
        <v>1.0176844325786014</v>
      </c>
      <c r="L69" s="144">
        <f>'4a.FAnalysis'!$C$24</f>
        <v>0.12215674012108235</v>
      </c>
      <c r="M69" s="41">
        <f>'7a.EAnalysis'!$C$28</f>
        <v>290903.21242832433</v>
      </c>
      <c r="N69" s="193">
        <f>'7a.EAnalysis'!$C$29</f>
        <v>3.5388280616854706</v>
      </c>
      <c r="O69" s="139">
        <f>'7a.EAnalysis'!$C$30</f>
        <v>0.34323815501412058</v>
      </c>
      <c r="P69" s="191" t="s">
        <v>149</v>
      </c>
    </row>
    <row r="70" spans="7:16" x14ac:dyDescent="0.55000000000000004">
      <c r="I70" s="352">
        <v>6.7410000000000005</v>
      </c>
      <c r="J70" s="149">
        <f t="dataTable" ref="J70:O74" dt2D="0" dtr="0" r1="I15" ca="1"/>
        <v>2330.2590173131957</v>
      </c>
      <c r="K70" s="188">
        <v>1.0176844325786014</v>
      </c>
      <c r="L70" s="146">
        <v>0.12215674012108235</v>
      </c>
      <c r="M70" s="39">
        <v>327382.24778564216</v>
      </c>
      <c r="N70" s="188">
        <v>3.8571951153019524</v>
      </c>
      <c r="O70" s="140">
        <v>0.36488980488915801</v>
      </c>
    </row>
    <row r="71" spans="7:16" x14ac:dyDescent="0.55000000000000004">
      <c r="I71" s="352">
        <v>7.1154999999999999</v>
      </c>
      <c r="J71" s="149">
        <v>2330.2590173131957</v>
      </c>
      <c r="K71" s="188">
        <v>1.0176844325786014</v>
      </c>
      <c r="L71" s="146">
        <v>0.12215674012108235</v>
      </c>
      <c r="M71" s="39">
        <v>309142.73010698328</v>
      </c>
      <c r="N71" s="188">
        <v>3.6980115884937126</v>
      </c>
      <c r="O71" s="140">
        <v>0.35417289826011977</v>
      </c>
    </row>
    <row r="72" spans="7:16" x14ac:dyDescent="0.55000000000000004">
      <c r="I72" s="352">
        <v>7.49</v>
      </c>
      <c r="J72" s="149">
        <v>2330.2590173131957</v>
      </c>
      <c r="K72" s="188">
        <v>1.0176844325786014</v>
      </c>
      <c r="L72" s="146">
        <v>0.12215674012108235</v>
      </c>
      <c r="M72" s="39">
        <v>290903.21242832433</v>
      </c>
      <c r="N72" s="188">
        <v>3.5388280616854706</v>
      </c>
      <c r="O72" s="140">
        <v>0.34323815501412058</v>
      </c>
    </row>
    <row r="73" spans="7:16" x14ac:dyDescent="0.55000000000000004">
      <c r="I73" s="352">
        <v>7.8645000000000005</v>
      </c>
      <c r="J73" s="149">
        <v>2330.2590173131957</v>
      </c>
      <c r="K73" s="188">
        <v>1.0176844325786014</v>
      </c>
      <c r="L73" s="146">
        <v>0.12215674012108235</v>
      </c>
      <c r="M73" s="39">
        <v>272663.69474966533</v>
      </c>
      <c r="N73" s="188">
        <v>3.3796445348772304</v>
      </c>
      <c r="O73" s="140">
        <v>0.33207288576537497</v>
      </c>
    </row>
    <row r="74" spans="7:16" x14ac:dyDescent="0.55000000000000004">
      <c r="G74" s="180"/>
      <c r="H74" s="141"/>
      <c r="I74" s="353">
        <v>8.2390000000000008</v>
      </c>
      <c r="J74" s="150">
        <v>2330.2590173131957</v>
      </c>
      <c r="K74" s="196">
        <v>1.0176844325786014</v>
      </c>
      <c r="L74" s="148">
        <v>0.12215674012108235</v>
      </c>
      <c r="M74" s="44">
        <v>254424.17707100647</v>
      </c>
      <c r="N74" s="196">
        <v>3.2204610080689902</v>
      </c>
      <c r="O74" s="118">
        <v>0.32066302437508254</v>
      </c>
    </row>
    <row r="75" spans="7:16" x14ac:dyDescent="0.55000000000000004">
      <c r="G75" s="373" t="s">
        <v>114</v>
      </c>
      <c r="H75" s="128"/>
      <c r="I75" s="375" t="s">
        <v>79</v>
      </c>
      <c r="J75" s="381" t="s">
        <v>98</v>
      </c>
      <c r="K75" s="380"/>
      <c r="L75" s="382"/>
      <c r="M75" s="380" t="s">
        <v>99</v>
      </c>
      <c r="N75" s="380"/>
      <c r="O75" s="380"/>
    </row>
    <row r="76" spans="7:16" x14ac:dyDescent="0.55000000000000004">
      <c r="G76" s="374"/>
      <c r="H76" s="128"/>
      <c r="I76" s="376"/>
      <c r="J76" s="160" t="s">
        <v>111</v>
      </c>
      <c r="K76" s="79" t="s">
        <v>112</v>
      </c>
      <c r="L76" s="161" t="s">
        <v>113</v>
      </c>
      <c r="M76" s="79" t="s">
        <v>111</v>
      </c>
      <c r="N76" s="79" t="s">
        <v>112</v>
      </c>
      <c r="O76" s="79" t="s">
        <v>113</v>
      </c>
    </row>
    <row r="77" spans="7:16" x14ac:dyDescent="0.55000000000000004">
      <c r="G77" s="38" t="str">
        <f>G16</f>
        <v>Average Sales Rate for Commercial</v>
      </c>
      <c r="H77" s="138" t="str">
        <f>H16</f>
        <v>(BDT/kWh)</v>
      </c>
      <c r="I77" s="154">
        <f>I16</f>
        <v>9.8000000000000007</v>
      </c>
      <c r="J77" s="151">
        <f>'4a.FAnalysis'!$C$22</f>
        <v>2330.2590173131957</v>
      </c>
      <c r="K77" s="193">
        <f>'4a.FAnalysis'!$C$23</f>
        <v>1.0176844325786014</v>
      </c>
      <c r="L77" s="144">
        <f>'4a.FAnalysis'!$C$24</f>
        <v>0.12215674012108235</v>
      </c>
      <c r="M77" s="41">
        <f>'7a.EAnalysis'!$C$28</f>
        <v>290903.21242832433</v>
      </c>
      <c r="N77" s="193">
        <f>'7a.EAnalysis'!$C$29</f>
        <v>3.5388280616854706</v>
      </c>
      <c r="O77" s="139">
        <f>'7a.EAnalysis'!$C$30</f>
        <v>0.34323815501412058</v>
      </c>
      <c r="P77" s="191" t="s">
        <v>149</v>
      </c>
    </row>
    <row r="78" spans="7:16" x14ac:dyDescent="0.55000000000000004">
      <c r="I78" s="352">
        <v>8.82</v>
      </c>
      <c r="J78" s="149">
        <f t="dataTable" ref="J78:O82" dt2D="0" dtr="0" r1="I16" ca="1"/>
        <v>2330.2590173131957</v>
      </c>
      <c r="K78" s="188">
        <v>1.0176844325786014</v>
      </c>
      <c r="L78" s="146">
        <v>0.12215674012108235</v>
      </c>
      <c r="M78" s="39">
        <v>321650.41571886133</v>
      </c>
      <c r="N78" s="188">
        <v>3.8071711366234866</v>
      </c>
      <c r="O78" s="140">
        <v>0.36154473277945276</v>
      </c>
    </row>
    <row r="79" spans="7:16" x14ac:dyDescent="0.55000000000000004">
      <c r="I79" s="352">
        <v>9.31</v>
      </c>
      <c r="J79" s="149">
        <v>2330.2590173131957</v>
      </c>
      <c r="K79" s="188">
        <v>1.0176844325786014</v>
      </c>
      <c r="L79" s="146">
        <v>0.12215674012108235</v>
      </c>
      <c r="M79" s="39">
        <v>306276.81407359277</v>
      </c>
      <c r="N79" s="188">
        <v>3.6729995991544784</v>
      </c>
      <c r="O79" s="140">
        <v>0.3524694918938307</v>
      </c>
    </row>
    <row r="80" spans="7:16" x14ac:dyDescent="0.55000000000000004">
      <c r="I80" s="352">
        <v>9.8000000000000007</v>
      </c>
      <c r="J80" s="149">
        <v>2330.2590173131957</v>
      </c>
      <c r="K80" s="188">
        <v>1.0176844325786014</v>
      </c>
      <c r="L80" s="146">
        <v>0.12215674012108235</v>
      </c>
      <c r="M80" s="39">
        <v>290903.21242832433</v>
      </c>
      <c r="N80" s="188">
        <v>3.5388280616854706</v>
      </c>
      <c r="O80" s="140">
        <v>0.34323815501412058</v>
      </c>
    </row>
    <row r="81" spans="7:16" x14ac:dyDescent="0.55000000000000004">
      <c r="I81" s="352">
        <v>10.290000000000001</v>
      </c>
      <c r="J81" s="149">
        <v>2330.2590173131957</v>
      </c>
      <c r="K81" s="188">
        <v>1.0176844325786014</v>
      </c>
      <c r="L81" s="146">
        <v>0.12215674012108235</v>
      </c>
      <c r="M81" s="39">
        <v>275529.61078305572</v>
      </c>
      <c r="N81" s="188">
        <v>3.4046565242164615</v>
      </c>
      <c r="O81" s="140">
        <v>0.33384306782894613</v>
      </c>
    </row>
    <row r="82" spans="7:16" x14ac:dyDescent="0.55000000000000004">
      <c r="I82" s="352">
        <v>10.780000000000001</v>
      </c>
      <c r="J82" s="149">
        <v>2330.2590173131957</v>
      </c>
      <c r="K82" s="188">
        <v>1.0176844325786014</v>
      </c>
      <c r="L82" s="146">
        <v>0.12215674012108235</v>
      </c>
      <c r="M82" s="39">
        <v>260156.00913778719</v>
      </c>
      <c r="N82" s="188">
        <v>3.2704849867474546</v>
      </c>
      <c r="O82" s="140">
        <v>0.32427588234400306</v>
      </c>
    </row>
    <row r="83" spans="7:16" x14ac:dyDescent="0.55000000000000004">
      <c r="G83" s="373" t="s">
        <v>114</v>
      </c>
      <c r="H83" s="156"/>
      <c r="I83" s="375" t="s">
        <v>79</v>
      </c>
      <c r="J83" s="377" t="s">
        <v>98</v>
      </c>
      <c r="K83" s="378"/>
      <c r="L83" s="379"/>
      <c r="M83" s="378" t="s">
        <v>99</v>
      </c>
      <c r="N83" s="378"/>
      <c r="O83" s="378"/>
    </row>
    <row r="84" spans="7:16" x14ac:dyDescent="0.55000000000000004">
      <c r="G84" s="374"/>
      <c r="H84" s="157"/>
      <c r="I84" s="376"/>
      <c r="J84" s="158" t="s">
        <v>111</v>
      </c>
      <c r="K84" s="11" t="s">
        <v>112</v>
      </c>
      <c r="L84" s="159" t="s">
        <v>113</v>
      </c>
      <c r="M84" s="11" t="s">
        <v>111</v>
      </c>
      <c r="N84" s="11" t="s">
        <v>112</v>
      </c>
      <c r="O84" s="11" t="s">
        <v>113</v>
      </c>
    </row>
    <row r="85" spans="7:16" x14ac:dyDescent="0.55000000000000004">
      <c r="G85" s="25" t="str">
        <f>G17</f>
        <v>Cost of Electricity Produced Privately for Residential</v>
      </c>
      <c r="H85" s="179" t="str">
        <f>H17</f>
        <v>(BDT/kWh)</v>
      </c>
      <c r="I85" s="237">
        <f>I17</f>
        <v>12</v>
      </c>
      <c r="J85" s="151">
        <f>'4a.FAnalysis'!$C$22</f>
        <v>2330.2590173131957</v>
      </c>
      <c r="K85" s="193">
        <f>'4a.FAnalysis'!$C$23</f>
        <v>1.0176844325786014</v>
      </c>
      <c r="L85" s="144">
        <f>'4a.FAnalysis'!$C$24</f>
        <v>0.12215674012108235</v>
      </c>
      <c r="M85" s="41">
        <f>'7a.EAnalysis'!$C$28</f>
        <v>290903.21242832433</v>
      </c>
      <c r="N85" s="193">
        <f>'7a.EAnalysis'!$C$29</f>
        <v>3.5388280616854706</v>
      </c>
      <c r="O85" s="139">
        <f>'7a.EAnalysis'!$C$30</f>
        <v>0.34323815501412058</v>
      </c>
      <c r="P85" s="191" t="s">
        <v>149</v>
      </c>
    </row>
    <row r="86" spans="7:16" x14ac:dyDescent="0.55000000000000004">
      <c r="I86" s="352">
        <v>10.8</v>
      </c>
      <c r="J86" s="149">
        <f t="dataTable" ref="J86:O90" dt2D="0" dtr="0" r1="I17" ca="1"/>
        <v>2330.2590173131957</v>
      </c>
      <c r="K86" s="188">
        <v>1.0176844325786014</v>
      </c>
      <c r="L86" s="146">
        <v>0.12215674012108235</v>
      </c>
      <c r="M86" s="39">
        <v>232458.83001339593</v>
      </c>
      <c r="N86" s="188">
        <v>3.028760686064941</v>
      </c>
      <c r="O86" s="140">
        <v>0.30657542443272501</v>
      </c>
    </row>
    <row r="87" spans="7:16" x14ac:dyDescent="0.55000000000000004">
      <c r="I87" s="352">
        <v>11.399999999999999</v>
      </c>
      <c r="J87" s="149">
        <v>2330.2590173131957</v>
      </c>
      <c r="K87" s="188">
        <v>1.0176844325786014</v>
      </c>
      <c r="L87" s="146">
        <v>0.12215674012108235</v>
      </c>
      <c r="M87" s="39">
        <v>261681.02122085998</v>
      </c>
      <c r="N87" s="188">
        <v>3.2837943738752049</v>
      </c>
      <c r="O87" s="140">
        <v>0.32523285774695609</v>
      </c>
    </row>
    <row r="88" spans="7:16" x14ac:dyDescent="0.55000000000000004">
      <c r="I88" s="352">
        <v>12</v>
      </c>
      <c r="J88" s="149">
        <v>2330.2590173131957</v>
      </c>
      <c r="K88" s="188">
        <v>1.0176844325786014</v>
      </c>
      <c r="L88" s="146">
        <v>0.12215674012108235</v>
      </c>
      <c r="M88" s="39">
        <v>290903.21242832433</v>
      </c>
      <c r="N88" s="188">
        <v>3.5388280616854706</v>
      </c>
      <c r="O88" s="140">
        <v>0.34323815501412058</v>
      </c>
    </row>
    <row r="89" spans="7:16" x14ac:dyDescent="0.55000000000000004">
      <c r="I89" s="352">
        <v>12.600000000000001</v>
      </c>
      <c r="J89" s="149">
        <v>2330.2590173131957</v>
      </c>
      <c r="K89" s="188">
        <v>1.0176844325786014</v>
      </c>
      <c r="L89" s="146">
        <v>0.12215674012108235</v>
      </c>
      <c r="M89" s="39">
        <v>320125.40363578865</v>
      </c>
      <c r="N89" s="188">
        <v>3.7938617494957381</v>
      </c>
      <c r="O89" s="140">
        <v>0.3606512681972418</v>
      </c>
    </row>
    <row r="90" spans="7:16" x14ac:dyDescent="0.55000000000000004">
      <c r="I90" s="352">
        <v>13.200000000000001</v>
      </c>
      <c r="J90" s="149">
        <v>2330.2590173131957</v>
      </c>
      <c r="K90" s="188">
        <v>1.0176844325786014</v>
      </c>
      <c r="L90" s="146">
        <v>0.12215674012108235</v>
      </c>
      <c r="M90" s="39">
        <v>349347.59484325279</v>
      </c>
      <c r="N90" s="188">
        <v>4.0488954373060038</v>
      </c>
      <c r="O90" s="140">
        <v>0.37752299315451365</v>
      </c>
    </row>
    <row r="91" spans="7:16" x14ac:dyDescent="0.55000000000000004">
      <c r="G91" s="373" t="s">
        <v>114</v>
      </c>
      <c r="H91" s="156"/>
      <c r="I91" s="375" t="s">
        <v>79</v>
      </c>
      <c r="J91" s="377" t="s">
        <v>98</v>
      </c>
      <c r="K91" s="378"/>
      <c r="L91" s="379"/>
      <c r="M91" s="378" t="s">
        <v>99</v>
      </c>
      <c r="N91" s="378"/>
      <c r="O91" s="378"/>
    </row>
    <row r="92" spans="7:16" x14ac:dyDescent="0.55000000000000004">
      <c r="G92" s="374"/>
      <c r="H92" s="157"/>
      <c r="I92" s="376"/>
      <c r="J92" s="158" t="s">
        <v>111</v>
      </c>
      <c r="K92" s="11" t="s">
        <v>112</v>
      </c>
      <c r="L92" s="159" t="s">
        <v>113</v>
      </c>
      <c r="M92" s="11" t="s">
        <v>111</v>
      </c>
      <c r="N92" s="11" t="s">
        <v>112</v>
      </c>
      <c r="O92" s="11" t="s">
        <v>113</v>
      </c>
    </row>
    <row r="93" spans="7:16" x14ac:dyDescent="0.55000000000000004">
      <c r="G93" s="25" t="str">
        <f>G18</f>
        <v>Cost of Electricity Produced Privately for Commercial</v>
      </c>
      <c r="H93" s="179" t="str">
        <f>H18</f>
        <v>(BDT/kWh)</v>
      </c>
      <c r="I93" s="237">
        <f>I18</f>
        <v>12</v>
      </c>
      <c r="J93" s="151">
        <f>'4a.FAnalysis'!$C$22</f>
        <v>2330.2590173131957</v>
      </c>
      <c r="K93" s="193">
        <f>'4a.FAnalysis'!$C$23</f>
        <v>1.0176844325786014</v>
      </c>
      <c r="L93" s="144">
        <f>'4a.FAnalysis'!$C$24</f>
        <v>0.12215674012108235</v>
      </c>
      <c r="M93" s="41">
        <f>'7a.EAnalysis'!$C$28</f>
        <v>290903.21242832433</v>
      </c>
      <c r="N93" s="193">
        <f>'7a.EAnalysis'!$C$29</f>
        <v>3.5388280616854706</v>
      </c>
      <c r="O93" s="139">
        <f>'7a.EAnalysis'!$C$30</f>
        <v>0.34323815501412058</v>
      </c>
      <c r="P93" s="191" t="s">
        <v>149</v>
      </c>
    </row>
    <row r="94" spans="7:16" x14ac:dyDescent="0.55000000000000004">
      <c r="I94" s="352">
        <v>10.8</v>
      </c>
      <c r="J94" s="149">
        <f t="dataTable" ref="J94:O98" dt2D="0" dtr="0" r1="I18" ca="1"/>
        <v>2330.2590173131957</v>
      </c>
      <c r="K94" s="188">
        <v>1.0176844325786014</v>
      </c>
      <c r="L94" s="146">
        <v>0.12215674012108235</v>
      </c>
      <c r="M94" s="39">
        <v>253253.57574603413</v>
      </c>
      <c r="N94" s="188">
        <v>3.2102447046185127</v>
      </c>
      <c r="O94" s="140">
        <v>0.3199220349098626</v>
      </c>
    </row>
    <row r="95" spans="7:16" x14ac:dyDescent="0.55000000000000004">
      <c r="I95" s="352">
        <v>11.399999999999999</v>
      </c>
      <c r="J95" s="149">
        <v>2330.2590173131957</v>
      </c>
      <c r="K95" s="188">
        <v>1.0176844325786014</v>
      </c>
      <c r="L95" s="146">
        <v>0.12215674012108235</v>
      </c>
      <c r="M95" s="39">
        <v>272078.3940871791</v>
      </c>
      <c r="N95" s="188">
        <v>3.3745363831519914</v>
      </c>
      <c r="O95" s="140">
        <v>0.33171062450353173</v>
      </c>
    </row>
    <row r="96" spans="7:16" x14ac:dyDescent="0.55000000000000004">
      <c r="I96" s="352">
        <v>12</v>
      </c>
      <c r="J96" s="149">
        <v>2330.2590173131957</v>
      </c>
      <c r="K96" s="188">
        <v>1.0176844325786014</v>
      </c>
      <c r="L96" s="146">
        <v>0.12215674012108235</v>
      </c>
      <c r="M96" s="39">
        <v>290903.21242832433</v>
      </c>
      <c r="N96" s="188">
        <v>3.5388280616854706</v>
      </c>
      <c r="O96" s="140">
        <v>0.34323815501412058</v>
      </c>
    </row>
    <row r="97" spans="7:16" x14ac:dyDescent="0.55000000000000004">
      <c r="I97" s="352">
        <v>12.600000000000001</v>
      </c>
      <c r="J97" s="149">
        <v>2330.2590173131957</v>
      </c>
      <c r="K97" s="188">
        <v>1.0176844325786014</v>
      </c>
      <c r="L97" s="146">
        <v>0.12215674012108235</v>
      </c>
      <c r="M97" s="39">
        <v>309728.03076946945</v>
      </c>
      <c r="N97" s="188">
        <v>3.7031197402189511</v>
      </c>
      <c r="O97" s="140">
        <v>0.35452011917556692</v>
      </c>
    </row>
    <row r="98" spans="7:16" x14ac:dyDescent="0.55000000000000004">
      <c r="I98" s="352">
        <v>13.200000000000001</v>
      </c>
      <c r="J98" s="149">
        <v>2330.2590173131957</v>
      </c>
      <c r="K98" s="188">
        <v>1.0176844325786014</v>
      </c>
      <c r="L98" s="146">
        <v>0.12215674012108235</v>
      </c>
      <c r="M98" s="39">
        <v>328552.84911061462</v>
      </c>
      <c r="N98" s="188">
        <v>3.8674114187524293</v>
      </c>
      <c r="O98" s="140">
        <v>0.36557044695694496</v>
      </c>
    </row>
    <row r="99" spans="7:16" x14ac:dyDescent="0.55000000000000004">
      <c r="G99" s="373" t="s">
        <v>114</v>
      </c>
      <c r="H99" s="156"/>
      <c r="I99" s="375" t="s">
        <v>79</v>
      </c>
      <c r="J99" s="377" t="s">
        <v>98</v>
      </c>
      <c r="K99" s="378"/>
      <c r="L99" s="379"/>
      <c r="M99" s="378" t="s">
        <v>99</v>
      </c>
      <c r="N99" s="378"/>
      <c r="O99" s="378"/>
    </row>
    <row r="100" spans="7:16" x14ac:dyDescent="0.55000000000000004">
      <c r="G100" s="374"/>
      <c r="H100" s="157"/>
      <c r="I100" s="376"/>
      <c r="J100" s="158" t="s">
        <v>111</v>
      </c>
      <c r="K100" s="11" t="s">
        <v>112</v>
      </c>
      <c r="L100" s="159" t="s">
        <v>113</v>
      </c>
      <c r="M100" s="11" t="s">
        <v>111</v>
      </c>
      <c r="N100" s="11" t="s">
        <v>112</v>
      </c>
      <c r="O100" s="11" t="s">
        <v>113</v>
      </c>
    </row>
    <row r="101" spans="7:16" x14ac:dyDescent="0.55000000000000004">
      <c r="G101" s="25" t="str">
        <f>G20</f>
        <v>Existing Total Customers</v>
      </c>
      <c r="H101" s="179" t="str">
        <f>H20</f>
        <v>(#)</v>
      </c>
      <c r="I101" s="238">
        <f>I20</f>
        <v>1332805</v>
      </c>
      <c r="J101" s="151">
        <f>'4a.FAnalysis'!$C$22</f>
        <v>2330.2590173131957</v>
      </c>
      <c r="K101" s="193">
        <f>'4a.FAnalysis'!$C$23</f>
        <v>1.0176844325786014</v>
      </c>
      <c r="L101" s="144">
        <f>'4a.FAnalysis'!$C$24</f>
        <v>0.12215674012108235</v>
      </c>
      <c r="M101" s="41">
        <f>'7a.EAnalysis'!$C$28</f>
        <v>290903.21242832433</v>
      </c>
      <c r="N101" s="193">
        <f>'7a.EAnalysis'!$C$29</f>
        <v>3.5388280616854706</v>
      </c>
      <c r="O101" s="139">
        <f>'7a.EAnalysis'!$C$30</f>
        <v>0.34323815501412058</v>
      </c>
      <c r="P101" s="191" t="s">
        <v>149</v>
      </c>
    </row>
    <row r="102" spans="7:16" x14ac:dyDescent="0.55000000000000004">
      <c r="I102" s="354">
        <v>1199524.5</v>
      </c>
      <c r="J102" s="149">
        <f t="dataTable" ref="J102:O106" dt2D="0" dtr="0" r1="I20" ca="1"/>
        <v>2330.2590173131957</v>
      </c>
      <c r="K102" s="188">
        <v>1.0176844325786014</v>
      </c>
      <c r="L102" s="146">
        <v>0.12215674012108235</v>
      </c>
      <c r="M102" s="39">
        <v>290883.30285375257</v>
      </c>
      <c r="N102" s="188">
        <v>3.5386543029077759</v>
      </c>
      <c r="O102" s="140">
        <v>0.34322609552955741</v>
      </c>
    </row>
    <row r="103" spans="7:16" x14ac:dyDescent="0.55000000000000004">
      <c r="I103" s="354">
        <v>1266164.75</v>
      </c>
      <c r="J103" s="149">
        <v>2330.2590173131957</v>
      </c>
      <c r="K103" s="188">
        <v>1.0176844325786014</v>
      </c>
      <c r="L103" s="146">
        <v>0.12215674012108235</v>
      </c>
      <c r="M103" s="39">
        <v>290893.25764103845</v>
      </c>
      <c r="N103" s="188">
        <v>3.5387411822966235</v>
      </c>
      <c r="O103" s="140">
        <v>0.34323212530615743</v>
      </c>
    </row>
    <row r="104" spans="7:16" x14ac:dyDescent="0.55000000000000004">
      <c r="I104" s="354">
        <v>1332805</v>
      </c>
      <c r="J104" s="149">
        <v>2330.2590173131957</v>
      </c>
      <c r="K104" s="188">
        <v>1.0176844325786014</v>
      </c>
      <c r="L104" s="146">
        <v>0.12215674012108235</v>
      </c>
      <c r="M104" s="39">
        <v>290903.21242832433</v>
      </c>
      <c r="N104" s="188">
        <v>3.5388280616854706</v>
      </c>
      <c r="O104" s="140">
        <v>0.34323815501412058</v>
      </c>
    </row>
    <row r="105" spans="7:16" x14ac:dyDescent="0.55000000000000004">
      <c r="I105" s="354">
        <v>1399445.25</v>
      </c>
      <c r="J105" s="149">
        <v>2330.2590173131957</v>
      </c>
      <c r="K105" s="188">
        <v>1.0176844325786014</v>
      </c>
      <c r="L105" s="146">
        <v>0.12215674012108235</v>
      </c>
      <c r="M105" s="39">
        <v>290913.16721561016</v>
      </c>
      <c r="N105" s="188">
        <v>3.538914941074319</v>
      </c>
      <c r="O105" s="140">
        <v>0.34324418465345019</v>
      </c>
    </row>
    <row r="106" spans="7:16" x14ac:dyDescent="0.55000000000000004">
      <c r="I106" s="354">
        <v>1466085.5000000002</v>
      </c>
      <c r="J106" s="149">
        <v>2330.2590173131957</v>
      </c>
      <c r="K106" s="188">
        <v>1.0176844325786014</v>
      </c>
      <c r="L106" s="146">
        <v>0.12215674012108235</v>
      </c>
      <c r="M106" s="39">
        <v>290923.12200289615</v>
      </c>
      <c r="N106" s="188">
        <v>3.539001820463167</v>
      </c>
      <c r="O106" s="140">
        <v>0.34325021422414648</v>
      </c>
    </row>
    <row r="107" spans="7:16" x14ac:dyDescent="0.55000000000000004">
      <c r="G107" s="373" t="s">
        <v>114</v>
      </c>
      <c r="H107" s="156"/>
      <c r="I107" s="375" t="s">
        <v>79</v>
      </c>
      <c r="J107" s="377" t="s">
        <v>98</v>
      </c>
      <c r="K107" s="378"/>
      <c r="L107" s="379"/>
      <c r="M107" s="378" t="s">
        <v>99</v>
      </c>
      <c r="N107" s="378"/>
      <c r="O107" s="378"/>
    </row>
    <row r="108" spans="7:16" x14ac:dyDescent="0.55000000000000004">
      <c r="G108" s="374"/>
      <c r="H108" s="157"/>
      <c r="I108" s="376"/>
      <c r="J108" s="158" t="s">
        <v>111</v>
      </c>
      <c r="K108" s="11" t="s">
        <v>112</v>
      </c>
      <c r="L108" s="159" t="s">
        <v>113</v>
      </c>
      <c r="M108" s="11" t="s">
        <v>111</v>
      </c>
      <c r="N108" s="11" t="s">
        <v>112</v>
      </c>
      <c r="O108" s="11" t="s">
        <v>113</v>
      </c>
    </row>
    <row r="109" spans="7:16" x14ac:dyDescent="0.55000000000000004">
      <c r="G109" s="25" t="str">
        <f>G21</f>
        <v>Percent of Existing Total Customers who Benefit from Cost Savings</v>
      </c>
      <c r="H109" s="179" t="str">
        <f>H21</f>
        <v>(%)</v>
      </c>
      <c r="I109" s="239">
        <f>I21</f>
        <v>0.01</v>
      </c>
      <c r="J109" s="151">
        <f>'4a.FAnalysis'!$C$22</f>
        <v>2330.2590173131957</v>
      </c>
      <c r="K109" s="193">
        <f>'4a.FAnalysis'!$C$23</f>
        <v>1.0176844325786014</v>
      </c>
      <c r="L109" s="144">
        <f>'4a.FAnalysis'!$C$24</f>
        <v>0.12215674012108235</v>
      </c>
      <c r="M109" s="41">
        <f>'7a.EAnalysis'!$C$28</f>
        <v>290903.21242832433</v>
      </c>
      <c r="N109" s="193">
        <f>'7a.EAnalysis'!$C$29</f>
        <v>3.5388280616854706</v>
      </c>
      <c r="O109" s="139">
        <f>'7a.EAnalysis'!$C$30</f>
        <v>0.34323815501412058</v>
      </c>
      <c r="P109" s="191" t="s">
        <v>149</v>
      </c>
    </row>
    <row r="110" spans="7:16" x14ac:dyDescent="0.55000000000000004">
      <c r="I110" s="355">
        <v>0.01</v>
      </c>
      <c r="J110" s="149">
        <f t="dataTable" ref="J110:O114" dt2D="0" dtr="0" r1="I21" ca="1"/>
        <v>2330.2590173131957</v>
      </c>
      <c r="K110" s="188">
        <v>1.0176844325786014</v>
      </c>
      <c r="L110" s="146">
        <v>0.12215674012108235</v>
      </c>
      <c r="M110" s="39">
        <v>290903.21242832433</v>
      </c>
      <c r="N110" s="188">
        <v>3.5388280616854706</v>
      </c>
      <c r="O110" s="140">
        <v>0.34323815501412058</v>
      </c>
    </row>
    <row r="111" spans="7:16" x14ac:dyDescent="0.55000000000000004">
      <c r="I111" s="355">
        <v>0.03</v>
      </c>
      <c r="J111" s="149">
        <v>2330.2590173131957</v>
      </c>
      <c r="K111" s="188">
        <v>1.0176844325786014</v>
      </c>
      <c r="L111" s="146">
        <v>0.12215674012108235</v>
      </c>
      <c r="M111" s="39">
        <v>291301.40391976084</v>
      </c>
      <c r="N111" s="188">
        <v>3.5423032372393766</v>
      </c>
      <c r="O111" s="140">
        <v>0.34347928707550457</v>
      </c>
    </row>
    <row r="112" spans="7:16" x14ac:dyDescent="0.55000000000000004">
      <c r="I112" s="355">
        <v>0.05</v>
      </c>
      <c r="J112" s="149">
        <v>2330.2590173131957</v>
      </c>
      <c r="K112" s="188">
        <v>1.0176844325786014</v>
      </c>
      <c r="L112" s="146">
        <v>0.12215674012108235</v>
      </c>
      <c r="M112" s="39">
        <v>291699.59541119752</v>
      </c>
      <c r="N112" s="188">
        <v>3.545778412793283</v>
      </c>
      <c r="O112" s="140">
        <v>0.3437203094602479</v>
      </c>
    </row>
    <row r="113" spans="7:16" x14ac:dyDescent="0.55000000000000004">
      <c r="I113" s="355">
        <v>0.1</v>
      </c>
      <c r="J113" s="149">
        <v>2330.2590173131957</v>
      </c>
      <c r="K113" s="188">
        <v>1.0176844325786014</v>
      </c>
      <c r="L113" s="146">
        <v>0.12215674012108235</v>
      </c>
      <c r="M113" s="39">
        <v>292695.07413978898</v>
      </c>
      <c r="N113" s="188">
        <v>3.5544663516780473</v>
      </c>
      <c r="O113" s="140">
        <v>0.34432238649270697</v>
      </c>
    </row>
    <row r="114" spans="7:16" x14ac:dyDescent="0.55000000000000004">
      <c r="I114" s="355">
        <v>0.2</v>
      </c>
      <c r="J114" s="149">
        <v>2330.2590173131957</v>
      </c>
      <c r="K114" s="188">
        <v>1.0176844325786014</v>
      </c>
      <c r="L114" s="146">
        <v>0.12215674012108235</v>
      </c>
      <c r="M114" s="39">
        <v>294686.03159697197</v>
      </c>
      <c r="N114" s="188">
        <v>3.5718422294475776</v>
      </c>
      <c r="O114" s="140">
        <v>0.34552449529781093</v>
      </c>
    </row>
    <row r="115" spans="7:16" x14ac:dyDescent="0.55000000000000004">
      <c r="G115" s="373" t="s">
        <v>114</v>
      </c>
      <c r="H115" s="156"/>
      <c r="I115" s="375" t="s">
        <v>79</v>
      </c>
      <c r="J115" s="377" t="s">
        <v>98</v>
      </c>
      <c r="K115" s="378"/>
      <c r="L115" s="379"/>
      <c r="M115" s="378" t="s">
        <v>99</v>
      </c>
      <c r="N115" s="378"/>
      <c r="O115" s="378"/>
    </row>
    <row r="116" spans="7:16" x14ac:dyDescent="0.55000000000000004">
      <c r="G116" s="374"/>
      <c r="H116" s="157"/>
      <c r="I116" s="376"/>
      <c r="J116" s="158" t="s">
        <v>111</v>
      </c>
      <c r="K116" s="11" t="s">
        <v>112</v>
      </c>
      <c r="L116" s="159" t="s">
        <v>113</v>
      </c>
      <c r="M116" s="11" t="s">
        <v>111</v>
      </c>
      <c r="N116" s="11" t="s">
        <v>112</v>
      </c>
      <c r="O116" s="11" t="s">
        <v>113</v>
      </c>
    </row>
    <row r="117" spans="7:16" x14ac:dyDescent="0.55000000000000004">
      <c r="G117" s="25" t="str">
        <f>G22</f>
        <v>Avg. Cost Savings per Customer</v>
      </c>
      <c r="H117" s="179" t="str">
        <f>H22</f>
        <v>(BDT/year)</v>
      </c>
      <c r="I117" s="238">
        <f>I22</f>
        <v>1000</v>
      </c>
      <c r="J117" s="151">
        <f>'4a.FAnalysis'!$C$22</f>
        <v>2330.2590173131957</v>
      </c>
      <c r="K117" s="193">
        <f>'4a.FAnalysis'!$C$23</f>
        <v>1.0176844325786014</v>
      </c>
      <c r="L117" s="144">
        <f>'4a.FAnalysis'!$C$24</f>
        <v>0.12215674012108235</v>
      </c>
      <c r="M117" s="41">
        <f>'7a.EAnalysis'!$C$28</f>
        <v>290903.21242832433</v>
      </c>
      <c r="N117" s="193">
        <f>'7a.EAnalysis'!$C$29</f>
        <v>3.5388280616854706</v>
      </c>
      <c r="O117" s="139">
        <f>'7a.EAnalysis'!$C$30</f>
        <v>0.34323815501412058</v>
      </c>
      <c r="P117" s="191" t="s">
        <v>149</v>
      </c>
    </row>
    <row r="118" spans="7:16" x14ac:dyDescent="0.55000000000000004">
      <c r="I118" s="354">
        <v>1000</v>
      </c>
      <c r="J118" s="149">
        <f t="dataTable" ref="J118:O122" dt2D="0" dtr="0" r1="I22" ca="1"/>
        <v>2330.2590173131957</v>
      </c>
      <c r="K118" s="188">
        <v>1.0176844325786014</v>
      </c>
      <c r="L118" s="146">
        <v>0.12215674012108235</v>
      </c>
      <c r="M118" s="39">
        <v>290903.21242832433</v>
      </c>
      <c r="N118" s="188">
        <v>3.5388280616854706</v>
      </c>
      <c r="O118" s="140">
        <v>0.34323815501412058</v>
      </c>
    </row>
    <row r="119" spans="7:16" x14ac:dyDescent="0.55000000000000004">
      <c r="I119" s="354">
        <v>2000</v>
      </c>
      <c r="J119" s="149">
        <v>2330.2590173131957</v>
      </c>
      <c r="K119" s="188">
        <v>1.0176844325786014</v>
      </c>
      <c r="L119" s="146">
        <v>0.12215674012108235</v>
      </c>
      <c r="M119" s="39">
        <v>291102.30817404256</v>
      </c>
      <c r="N119" s="188">
        <v>3.5405656494624242</v>
      </c>
      <c r="O119" s="140">
        <v>0.34335873476303957</v>
      </c>
    </row>
    <row r="120" spans="7:16" x14ac:dyDescent="0.55000000000000004">
      <c r="I120" s="354">
        <v>5000</v>
      </c>
      <c r="J120" s="149">
        <v>2330.2590173131957</v>
      </c>
      <c r="K120" s="188">
        <v>1.0176844325786014</v>
      </c>
      <c r="L120" s="146">
        <v>0.12215674012108235</v>
      </c>
      <c r="M120" s="39">
        <v>291699.59541119752</v>
      </c>
      <c r="N120" s="188">
        <v>3.545778412793283</v>
      </c>
      <c r="O120" s="140">
        <v>0.3437203094602479</v>
      </c>
    </row>
    <row r="121" spans="7:16" x14ac:dyDescent="0.55000000000000004">
      <c r="I121" s="354">
        <v>7500</v>
      </c>
      <c r="J121" s="149">
        <v>2330.2590173131957</v>
      </c>
      <c r="K121" s="188">
        <v>1.0176844325786014</v>
      </c>
      <c r="L121" s="146">
        <v>0.12215674012108235</v>
      </c>
      <c r="M121" s="39">
        <v>292197.33477549325</v>
      </c>
      <c r="N121" s="188">
        <v>3.5501223822356653</v>
      </c>
      <c r="O121" s="140">
        <v>0.34402143341884694</v>
      </c>
    </row>
    <row r="122" spans="7:16" x14ac:dyDescent="0.55000000000000004">
      <c r="I122" s="354">
        <v>10000</v>
      </c>
      <c r="J122" s="149">
        <v>2330.2590173131957</v>
      </c>
      <c r="K122" s="188">
        <v>1.0176844325786014</v>
      </c>
      <c r="L122" s="146">
        <v>0.12215674012108235</v>
      </c>
      <c r="M122" s="39">
        <v>292695.07413978898</v>
      </c>
      <c r="N122" s="188">
        <v>3.5544663516780473</v>
      </c>
      <c r="O122" s="140">
        <v>0.34432238649270697</v>
      </c>
    </row>
    <row r="123" spans="7:16" x14ac:dyDescent="0.55000000000000004">
      <c r="G123" s="373" t="s">
        <v>114</v>
      </c>
      <c r="H123" s="156"/>
      <c r="I123" s="375" t="s">
        <v>79</v>
      </c>
      <c r="J123" s="377" t="s">
        <v>98</v>
      </c>
      <c r="K123" s="378"/>
      <c r="L123" s="379"/>
      <c r="M123" s="378" t="s">
        <v>99</v>
      </c>
      <c r="N123" s="378"/>
      <c r="O123" s="378"/>
    </row>
    <row r="124" spans="7:16" x14ac:dyDescent="0.55000000000000004">
      <c r="G124" s="374"/>
      <c r="H124" s="157"/>
      <c r="I124" s="376"/>
      <c r="J124" s="158" t="s">
        <v>111</v>
      </c>
      <c r="K124" s="11" t="s">
        <v>112</v>
      </c>
      <c r="L124" s="159" t="s">
        <v>113</v>
      </c>
      <c r="M124" s="11" t="s">
        <v>111</v>
      </c>
      <c r="N124" s="11" t="s">
        <v>112</v>
      </c>
      <c r="O124" s="11" t="s">
        <v>113</v>
      </c>
    </row>
    <row r="125" spans="7:16" x14ac:dyDescent="0.55000000000000004">
      <c r="G125" s="38" t="str">
        <f>G24</f>
        <v>Percent of Indirect Benefits Attributable to the Project</v>
      </c>
      <c r="H125" s="233" t="str">
        <f>H24</f>
        <v>(#)</v>
      </c>
      <c r="I125" s="235">
        <f>I24</f>
        <v>0.33333333333333331</v>
      </c>
      <c r="J125" s="151">
        <f>'4a.FAnalysis'!$C$22</f>
        <v>2330.2590173131957</v>
      </c>
      <c r="K125" s="193">
        <f>'4a.FAnalysis'!$C$23</f>
        <v>1.0176844325786014</v>
      </c>
      <c r="L125" s="144">
        <f>'4a.FAnalysis'!$C$24</f>
        <v>0.12215674012108235</v>
      </c>
      <c r="M125" s="41">
        <f>'7a.EAnalysis'!$C$28</f>
        <v>290903.21242832433</v>
      </c>
      <c r="N125" s="193">
        <f>'7a.EAnalysis'!$C$29</f>
        <v>3.5388280616854706</v>
      </c>
      <c r="O125" s="139">
        <f>'7a.EAnalysis'!$C$30</f>
        <v>0.34323815501412058</v>
      </c>
      <c r="P125" s="191" t="s">
        <v>149</v>
      </c>
    </row>
    <row r="126" spans="7:16" x14ac:dyDescent="0.55000000000000004">
      <c r="I126" s="356">
        <v>0.1</v>
      </c>
      <c r="J126" s="149">
        <f t="dataTable" ref="J126:O130" dt2D="0" dtr="0" r1="I24" ca="1"/>
        <v>2330.2590173131957</v>
      </c>
      <c r="K126" s="188">
        <v>1.0176844325786014</v>
      </c>
      <c r="L126" s="146">
        <v>0.12215674012108235</v>
      </c>
      <c r="M126" s="39">
        <v>88689.382260774757</v>
      </c>
      <c r="N126" s="188">
        <v>1.7740275213106615</v>
      </c>
      <c r="O126" s="140">
        <v>0.20217834906071719</v>
      </c>
    </row>
    <row r="127" spans="7:16" x14ac:dyDescent="0.55000000000000004">
      <c r="I127" s="356">
        <v>0.2</v>
      </c>
      <c r="J127" s="149">
        <v>2330.2590173131957</v>
      </c>
      <c r="K127" s="188">
        <v>1.0176844325786014</v>
      </c>
      <c r="L127" s="146">
        <v>0.12215674012108235</v>
      </c>
      <c r="M127" s="39">
        <v>175352.45233258177</v>
      </c>
      <c r="N127" s="188">
        <v>2.530370610042723</v>
      </c>
      <c r="O127" s="140">
        <v>0.26794384641582614</v>
      </c>
    </row>
    <row r="128" spans="7:16" x14ac:dyDescent="0.55000000000000004">
      <c r="I128" s="356">
        <v>0.33333333333333331</v>
      </c>
      <c r="J128" s="149">
        <v>2330.2590173131957</v>
      </c>
      <c r="K128" s="188">
        <v>1.0176844325786014</v>
      </c>
      <c r="L128" s="146">
        <v>0.12215674012108235</v>
      </c>
      <c r="M128" s="39">
        <v>290903.21242832433</v>
      </c>
      <c r="N128" s="188">
        <v>3.5388280616854706</v>
      </c>
      <c r="O128" s="140">
        <v>0.34323815501412058</v>
      </c>
    </row>
    <row r="129" spans="7:16" x14ac:dyDescent="0.55000000000000004">
      <c r="I129" s="356">
        <v>0.5</v>
      </c>
      <c r="J129" s="149">
        <v>2330.2590173131957</v>
      </c>
      <c r="K129" s="188">
        <v>1.0176844325786014</v>
      </c>
      <c r="L129" s="146">
        <v>0.12215674012108235</v>
      </c>
      <c r="M129" s="39">
        <v>435341.66254800255</v>
      </c>
      <c r="N129" s="188">
        <v>4.7993998762389074</v>
      </c>
      <c r="O129" s="140">
        <v>0.42442316797642787</v>
      </c>
    </row>
    <row r="130" spans="7:16" x14ac:dyDescent="0.55000000000000004">
      <c r="G130" s="180"/>
      <c r="H130" s="141"/>
      <c r="I130" s="357">
        <v>1</v>
      </c>
      <c r="J130" s="150">
        <v>2330.2590173131957</v>
      </c>
      <c r="K130" s="196">
        <v>1.0176844325786014</v>
      </c>
      <c r="L130" s="148">
        <v>0.12215674012108235</v>
      </c>
      <c r="M130" s="44">
        <v>868657.01290703716</v>
      </c>
      <c r="N130" s="196">
        <v>8.5811153198992116</v>
      </c>
      <c r="O130" s="118">
        <v>0.61829336622383346</v>
      </c>
    </row>
    <row r="131" spans="7:16" x14ac:dyDescent="0.55000000000000004">
      <c r="G131" s="373" t="s">
        <v>114</v>
      </c>
      <c r="H131" s="156"/>
      <c r="I131" s="375" t="s">
        <v>79</v>
      </c>
      <c r="J131" s="377" t="s">
        <v>98</v>
      </c>
      <c r="K131" s="378"/>
      <c r="L131" s="379"/>
      <c r="M131" s="378" t="s">
        <v>99</v>
      </c>
      <c r="N131" s="378"/>
      <c r="O131" s="378"/>
    </row>
    <row r="132" spans="7:16" x14ac:dyDescent="0.55000000000000004">
      <c r="G132" s="374"/>
      <c r="H132" s="157"/>
      <c r="I132" s="376"/>
      <c r="J132" s="158" t="s">
        <v>111</v>
      </c>
      <c r="K132" s="11" t="s">
        <v>112</v>
      </c>
      <c r="L132" s="159" t="s">
        <v>113</v>
      </c>
      <c r="M132" s="11" t="s">
        <v>111</v>
      </c>
      <c r="N132" s="11" t="s">
        <v>112</v>
      </c>
      <c r="O132" s="11" t="s">
        <v>113</v>
      </c>
    </row>
    <row r="133" spans="7:16" x14ac:dyDescent="0.55000000000000004">
      <c r="G133" s="25" t="str">
        <f>TRIM(B12)</f>
        <v>Financial Discount Rate</v>
      </c>
      <c r="H133" s="138" t="str">
        <f>C12</f>
        <v>(%)</v>
      </c>
      <c r="I133" s="192">
        <f>D12</f>
        <v>0.12</v>
      </c>
      <c r="J133" s="194">
        <f>'4a.FAnalysis'!$C$22</f>
        <v>2330.2590173131957</v>
      </c>
      <c r="K133" s="193">
        <f>'4a.FAnalysis'!$C$23</f>
        <v>1.0176844325786014</v>
      </c>
      <c r="L133" s="144">
        <f>'4a.FAnalysis'!$C$24</f>
        <v>0.12215674012108235</v>
      </c>
      <c r="M133" s="41">
        <f>'7a.EAnalysis'!$C$28</f>
        <v>290903.21242832433</v>
      </c>
      <c r="N133" s="193">
        <f>'7a.EAnalysis'!$C$29</f>
        <v>3.5388280616854706</v>
      </c>
      <c r="O133" s="139">
        <f>'7a.EAnalysis'!$C$30</f>
        <v>0.34323815501412058</v>
      </c>
      <c r="P133" s="191" t="s">
        <v>149</v>
      </c>
    </row>
    <row r="134" spans="7:16" x14ac:dyDescent="0.55000000000000004">
      <c r="I134" s="355">
        <v>0.08</v>
      </c>
      <c r="J134" s="195">
        <f t="dataTable" ref="J134:O138" dt2D="0" dtr="0" r1="D12" ca="1"/>
        <v>67967.641618252383</v>
      </c>
      <c r="K134" s="188">
        <v>1.4530187679665727</v>
      </c>
      <c r="L134" s="152">
        <v>0.12215674012108235</v>
      </c>
      <c r="M134" s="39">
        <v>290903.21242832433</v>
      </c>
      <c r="N134" s="188">
        <v>3.5388280616854706</v>
      </c>
      <c r="O134" s="200">
        <v>0.34323815501412058</v>
      </c>
    </row>
    <row r="135" spans="7:16" x14ac:dyDescent="0.55000000000000004">
      <c r="I135" s="355">
        <v>0.1</v>
      </c>
      <c r="J135" s="195">
        <v>29028.517496756984</v>
      </c>
      <c r="K135" s="188">
        <v>1.2067412877903096</v>
      </c>
      <c r="L135" s="152">
        <v>0.12215674012108235</v>
      </c>
      <c r="M135" s="39">
        <v>290903.21242832433</v>
      </c>
      <c r="N135" s="188">
        <v>3.5388280616854706</v>
      </c>
      <c r="O135" s="200">
        <v>0.34323815501412058</v>
      </c>
    </row>
    <row r="136" spans="7:16" x14ac:dyDescent="0.55000000000000004">
      <c r="I136" s="355">
        <v>0.12</v>
      </c>
      <c r="J136" s="195">
        <v>2330.2590173131957</v>
      </c>
      <c r="K136" s="188">
        <v>1.0176844325786014</v>
      </c>
      <c r="L136" s="152">
        <v>0.12215674012108235</v>
      </c>
      <c r="M136" s="39">
        <v>290903.21242832433</v>
      </c>
      <c r="N136" s="188">
        <v>3.5388280616854706</v>
      </c>
      <c r="O136" s="200">
        <v>0.34323815501412058</v>
      </c>
    </row>
    <row r="137" spans="7:16" x14ac:dyDescent="0.55000000000000004">
      <c r="I137" s="355">
        <v>0.14000000000000001</v>
      </c>
      <c r="J137" s="195">
        <v>-16108.809798613247</v>
      </c>
      <c r="K137" s="188">
        <v>0.87004765453013821</v>
      </c>
      <c r="L137" s="152">
        <v>0.12215674012108235</v>
      </c>
      <c r="M137" s="39">
        <v>290903.21242832433</v>
      </c>
      <c r="N137" s="188">
        <v>3.5388280616854706</v>
      </c>
      <c r="O137" s="200">
        <v>0.34323815501412058</v>
      </c>
    </row>
    <row r="138" spans="7:16" x14ac:dyDescent="0.55000000000000004">
      <c r="I138" s="355">
        <v>0.16</v>
      </c>
      <c r="J138" s="195">
        <v>-28881.741217250546</v>
      </c>
      <c r="K138" s="188">
        <v>0.7528612489173816</v>
      </c>
      <c r="L138" s="152">
        <v>0.12215674012108235</v>
      </c>
      <c r="M138" s="39">
        <v>290903.21242832433</v>
      </c>
      <c r="N138" s="188">
        <v>3.5388280616854706</v>
      </c>
      <c r="O138" s="200">
        <v>0.34323815501412058</v>
      </c>
    </row>
    <row r="139" spans="7:16" x14ac:dyDescent="0.55000000000000004">
      <c r="G139" s="373" t="s">
        <v>114</v>
      </c>
      <c r="H139" s="156"/>
      <c r="I139" s="375" t="s">
        <v>79</v>
      </c>
      <c r="J139" s="377" t="s">
        <v>98</v>
      </c>
      <c r="K139" s="378"/>
      <c r="L139" s="379"/>
      <c r="M139" s="378" t="s">
        <v>99</v>
      </c>
      <c r="N139" s="378"/>
      <c r="O139" s="378"/>
    </row>
    <row r="140" spans="7:16" x14ac:dyDescent="0.55000000000000004">
      <c r="G140" s="374"/>
      <c r="H140" s="157"/>
      <c r="I140" s="376"/>
      <c r="J140" s="158" t="s">
        <v>111</v>
      </c>
      <c r="K140" s="11" t="s">
        <v>112</v>
      </c>
      <c r="L140" s="159" t="s">
        <v>113</v>
      </c>
      <c r="M140" s="11" t="s">
        <v>111</v>
      </c>
      <c r="N140" s="11" t="s">
        <v>112</v>
      </c>
      <c r="O140" s="11" t="s">
        <v>113</v>
      </c>
    </row>
    <row r="141" spans="7:16" x14ac:dyDescent="0.55000000000000004">
      <c r="G141" s="38" t="str">
        <f>TRIM(B13)</f>
        <v>Economic (Social) Discount Rate</v>
      </c>
      <c r="H141" s="138" t="str">
        <f>C13</f>
        <v>(%)</v>
      </c>
      <c r="I141" s="192">
        <f>D13</f>
        <v>0.12</v>
      </c>
      <c r="J141" s="151">
        <f>'4a.FAnalysis'!$C$22</f>
        <v>2330.2590173131957</v>
      </c>
      <c r="K141" s="193">
        <f>'4a.FAnalysis'!$C$23</f>
        <v>1.0176844325786014</v>
      </c>
      <c r="L141" s="144">
        <f>'4a.FAnalysis'!$C$24</f>
        <v>0.12215674012108235</v>
      </c>
      <c r="M141" s="197">
        <f>'7a.EAnalysis'!$C$28</f>
        <v>290903.21242832433</v>
      </c>
      <c r="N141" s="193">
        <f>'7a.EAnalysis'!$C$29</f>
        <v>3.5388280616854706</v>
      </c>
      <c r="O141" s="139">
        <f>'7a.EAnalysis'!$C$30</f>
        <v>0.34323815501412058</v>
      </c>
      <c r="P141" s="191" t="s">
        <v>149</v>
      </c>
    </row>
    <row r="142" spans="7:16" x14ac:dyDescent="0.55000000000000004">
      <c r="I142" s="355">
        <v>0.08</v>
      </c>
      <c r="J142" s="145">
        <f t="dataTable" ref="J142:O146" dt2D="0" dtr="0" r1="D13" ca="1"/>
        <v>2330.2590173131957</v>
      </c>
      <c r="K142" s="188">
        <v>1.0176844325786014</v>
      </c>
      <c r="L142" s="146">
        <v>0.12215674012108235</v>
      </c>
      <c r="M142" s="198">
        <v>528719.336744398</v>
      </c>
      <c r="N142" s="188">
        <v>5.0526306835676369</v>
      </c>
      <c r="O142" s="140">
        <v>0.34323815501412058</v>
      </c>
    </row>
    <row r="143" spans="7:16" x14ac:dyDescent="0.55000000000000004">
      <c r="I143" s="355">
        <v>0.1</v>
      </c>
      <c r="J143" s="145">
        <v>2330.2590173131957</v>
      </c>
      <c r="K143" s="188">
        <v>1.0176844325786014</v>
      </c>
      <c r="L143" s="146">
        <v>0.12215674012108235</v>
      </c>
      <c r="M143" s="198">
        <v>390246.86510742729</v>
      </c>
      <c r="N143" s="188">
        <v>4.1962417776268603</v>
      </c>
      <c r="O143" s="140">
        <v>0.34323815501412058</v>
      </c>
    </row>
    <row r="144" spans="7:16" x14ac:dyDescent="0.55000000000000004">
      <c r="I144" s="355">
        <v>0.12</v>
      </c>
      <c r="J144" s="145">
        <v>2330.2590173131957</v>
      </c>
      <c r="K144" s="188">
        <v>1.0176844325786014</v>
      </c>
      <c r="L144" s="146">
        <v>0.12215674012108235</v>
      </c>
      <c r="M144" s="198">
        <v>290903.21242832433</v>
      </c>
      <c r="N144" s="188">
        <v>3.5388280616854706</v>
      </c>
      <c r="O144" s="140">
        <v>0.34323815501412058</v>
      </c>
    </row>
    <row r="145" spans="7:15" x14ac:dyDescent="0.55000000000000004">
      <c r="I145" s="355">
        <v>0.14000000000000001</v>
      </c>
      <c r="J145" s="145">
        <v>2330.2590173131957</v>
      </c>
      <c r="K145" s="188">
        <v>1.0176844325786014</v>
      </c>
      <c r="L145" s="146">
        <v>0.12215674012108235</v>
      </c>
      <c r="M145" s="198">
        <v>218324.31653167837</v>
      </c>
      <c r="N145" s="188">
        <v>3.0254457632347416</v>
      </c>
      <c r="O145" s="140">
        <v>0.34323815501412058</v>
      </c>
    </row>
    <row r="146" spans="7:15" x14ac:dyDescent="0.55000000000000004">
      <c r="G146" s="180"/>
      <c r="H146" s="141"/>
      <c r="I146" s="358">
        <v>0.16</v>
      </c>
      <c r="J146" s="147">
        <v>2330.2590173131957</v>
      </c>
      <c r="K146" s="196">
        <v>1.0176844325786014</v>
      </c>
      <c r="L146" s="148">
        <v>0.12215674012108235</v>
      </c>
      <c r="M146" s="199">
        <v>164418.114323866</v>
      </c>
      <c r="N146" s="196">
        <v>2.6179495617062285</v>
      </c>
      <c r="O146" s="118">
        <v>0.34323815501412058</v>
      </c>
    </row>
  </sheetData>
  <sheetProtection sheet="1" objects="1" scenarios="1"/>
  <mergeCells count="60">
    <mergeCell ref="G115:G116"/>
    <mergeCell ref="I115:I116"/>
    <mergeCell ref="J115:L115"/>
    <mergeCell ref="M115:O115"/>
    <mergeCell ref="G99:G100"/>
    <mergeCell ref="I99:I100"/>
    <mergeCell ref="J99:L99"/>
    <mergeCell ref="M99:O99"/>
    <mergeCell ref="G107:G108"/>
    <mergeCell ref="I107:I108"/>
    <mergeCell ref="J107:L107"/>
    <mergeCell ref="M107:O107"/>
    <mergeCell ref="G83:G84"/>
    <mergeCell ref="I83:I84"/>
    <mergeCell ref="J83:L83"/>
    <mergeCell ref="M83:O83"/>
    <mergeCell ref="G91:G92"/>
    <mergeCell ref="I91:I92"/>
    <mergeCell ref="J91:L91"/>
    <mergeCell ref="M91:O91"/>
    <mergeCell ref="I51:I52"/>
    <mergeCell ref="I59:I60"/>
    <mergeCell ref="I67:I68"/>
    <mergeCell ref="I75:I76"/>
    <mergeCell ref="I123:I124"/>
    <mergeCell ref="J43:L43"/>
    <mergeCell ref="M43:O43"/>
    <mergeCell ref="G27:G28"/>
    <mergeCell ref="J27:L27"/>
    <mergeCell ref="M27:O27"/>
    <mergeCell ref="G35:G36"/>
    <mergeCell ref="J35:L35"/>
    <mergeCell ref="M35:O35"/>
    <mergeCell ref="I27:I28"/>
    <mergeCell ref="I35:I36"/>
    <mergeCell ref="I43:I44"/>
    <mergeCell ref="J51:L51"/>
    <mergeCell ref="M51:O51"/>
    <mergeCell ref="J123:L123"/>
    <mergeCell ref="M123:O123"/>
    <mergeCell ref="G43:G44"/>
    <mergeCell ref="G51:G52"/>
    <mergeCell ref="G59:G60"/>
    <mergeCell ref="G67:G68"/>
    <mergeCell ref="G75:G76"/>
    <mergeCell ref="G123:G124"/>
    <mergeCell ref="J59:L59"/>
    <mergeCell ref="M59:O59"/>
    <mergeCell ref="J67:L67"/>
    <mergeCell ref="M67:O67"/>
    <mergeCell ref="J75:L75"/>
    <mergeCell ref="M75:O75"/>
    <mergeCell ref="G139:G140"/>
    <mergeCell ref="I139:I140"/>
    <mergeCell ref="J139:L139"/>
    <mergeCell ref="M139:O139"/>
    <mergeCell ref="G131:G132"/>
    <mergeCell ref="I131:I132"/>
    <mergeCell ref="J131:L131"/>
    <mergeCell ref="M131:O131"/>
  </mergeCells>
  <phoneticPr fontId="4"/>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6E2CB-D4B0-4B3A-BC2C-1925D6E0A5F2}">
  <sheetPr codeName="Sheet3">
    <tabColor theme="4" tint="0.59999389629810485"/>
  </sheetPr>
  <dimension ref="A1:W21"/>
  <sheetViews>
    <sheetView zoomScale="70" zoomScaleNormal="70" zoomScaleSheetLayoutView="70" workbookViewId="0">
      <pane xSplit="1" ySplit="7" topLeftCell="B8" activePane="bottomRight" state="frozen"/>
      <selection pane="topRight" activeCell="B1" sqref="B1"/>
      <selection pane="bottomLeft" activeCell="A9" sqref="A9"/>
      <selection pane="bottomRight"/>
    </sheetView>
  </sheetViews>
  <sheetFormatPr defaultColWidth="8.6640625" defaultRowHeight="18.5" customHeight="1" x14ac:dyDescent="0.55000000000000004"/>
  <cols>
    <col min="1" max="1" width="2.6640625" style="90" customWidth="1"/>
    <col min="2" max="3" width="10.25" style="90" customWidth="1"/>
    <col min="4" max="4" width="26.08203125" style="90" customWidth="1"/>
    <col min="5" max="7" width="10.25" style="90" customWidth="1"/>
    <col min="8" max="8" width="11.6640625" style="90" bestFit="1" customWidth="1"/>
    <col min="9" max="11" width="10.25" style="90" customWidth="1"/>
    <col min="12" max="12" width="11.08203125" style="90" customWidth="1"/>
    <col min="13" max="14" width="10.25" style="90" customWidth="1"/>
    <col min="15" max="15" width="11.9140625" style="90" customWidth="1"/>
    <col min="16" max="16" width="10.25" style="90" customWidth="1"/>
    <col min="17" max="17" width="2.58203125" style="90" customWidth="1"/>
    <col min="18" max="16384" width="8.6640625" style="90"/>
  </cols>
  <sheetData>
    <row r="1" spans="1:23" s="88" customFormat="1" ht="20" x14ac:dyDescent="0.6">
      <c r="A1" s="5" t="str">
        <f>"Financial Costs ("&amp;MID('0.Contents'!A1,20,(LEN('0.Contents'!A1)-20))&amp;")----DPP format"</f>
        <v>Financial Costs (Power Transmission)----DPP format</v>
      </c>
      <c r="C1" s="5"/>
      <c r="D1" s="89"/>
      <c r="E1" s="89"/>
      <c r="F1" s="89"/>
      <c r="G1" s="89"/>
      <c r="H1" s="89"/>
      <c r="I1" s="89"/>
      <c r="J1" s="89"/>
      <c r="K1" s="89"/>
      <c r="L1" s="89"/>
      <c r="M1" s="89"/>
      <c r="N1" s="89"/>
      <c r="O1" s="89"/>
      <c r="P1" s="89"/>
    </row>
    <row r="2" spans="1:23" s="87" customFormat="1" ht="18.5" customHeight="1" x14ac:dyDescent="0.6">
      <c r="B2" s="6" t="s">
        <v>87</v>
      </c>
      <c r="C2" s="6"/>
      <c r="D2" s="119"/>
      <c r="E2" s="119"/>
      <c r="F2" s="119"/>
      <c r="G2" s="119"/>
      <c r="H2" s="119"/>
      <c r="I2" s="119"/>
      <c r="J2" s="119"/>
      <c r="K2" s="119"/>
      <c r="L2" s="119"/>
      <c r="M2" s="119"/>
      <c r="N2" s="119"/>
      <c r="O2" s="119"/>
      <c r="P2" s="120" t="s">
        <v>86</v>
      </c>
    </row>
    <row r="3" spans="1:23" s="87" customFormat="1" ht="18.5" customHeight="1" x14ac:dyDescent="0.6">
      <c r="B3" s="386" t="s">
        <v>48</v>
      </c>
      <c r="C3" s="386" t="s">
        <v>88</v>
      </c>
      <c r="D3" s="386" t="s">
        <v>89</v>
      </c>
      <c r="E3" s="386" t="s">
        <v>49</v>
      </c>
      <c r="F3" s="386" t="s">
        <v>90</v>
      </c>
      <c r="G3" s="386" t="s">
        <v>50</v>
      </c>
      <c r="H3" s="389" t="s">
        <v>24</v>
      </c>
      <c r="I3" s="390"/>
      <c r="J3" s="390"/>
      <c r="K3" s="390"/>
      <c r="L3" s="390"/>
      <c r="M3" s="390"/>
      <c r="N3" s="390"/>
      <c r="O3" s="390"/>
      <c r="P3" s="391"/>
    </row>
    <row r="4" spans="1:23" s="87" customFormat="1" ht="18.5" customHeight="1" x14ac:dyDescent="0.6">
      <c r="B4" s="387"/>
      <c r="C4" s="387"/>
      <c r="D4" s="387"/>
      <c r="E4" s="387"/>
      <c r="F4" s="387"/>
      <c r="G4" s="387"/>
      <c r="H4" s="386" t="s">
        <v>51</v>
      </c>
      <c r="I4" s="389" t="s">
        <v>52</v>
      </c>
      <c r="J4" s="390"/>
      <c r="K4" s="390"/>
      <c r="L4" s="391"/>
      <c r="M4" s="386" t="s">
        <v>53</v>
      </c>
      <c r="N4" s="386" t="s">
        <v>54</v>
      </c>
      <c r="O4" s="386" t="s">
        <v>24</v>
      </c>
      <c r="P4" s="392" t="s">
        <v>55</v>
      </c>
    </row>
    <row r="5" spans="1:23" ht="18.5" customHeight="1" x14ac:dyDescent="0.55000000000000004">
      <c r="B5" s="387"/>
      <c r="C5" s="387"/>
      <c r="D5" s="387"/>
      <c r="E5" s="387"/>
      <c r="F5" s="387"/>
      <c r="G5" s="387"/>
      <c r="H5" s="387"/>
      <c r="I5" s="395" t="s">
        <v>56</v>
      </c>
      <c r="J5" s="396"/>
      <c r="K5" s="397" t="s">
        <v>57</v>
      </c>
      <c r="L5" s="398"/>
      <c r="M5" s="387"/>
      <c r="N5" s="387"/>
      <c r="O5" s="387"/>
      <c r="P5" s="393"/>
    </row>
    <row r="6" spans="1:23" ht="37" customHeight="1" x14ac:dyDescent="0.55000000000000004">
      <c r="B6" s="388"/>
      <c r="C6" s="388"/>
      <c r="D6" s="388"/>
      <c r="E6" s="388"/>
      <c r="F6" s="388"/>
      <c r="G6" s="388"/>
      <c r="H6" s="388"/>
      <c r="I6" s="102" t="s">
        <v>58</v>
      </c>
      <c r="J6" s="103" t="s">
        <v>91</v>
      </c>
      <c r="K6" s="103" t="s">
        <v>59</v>
      </c>
      <c r="L6" s="103" t="s">
        <v>60</v>
      </c>
      <c r="M6" s="388"/>
      <c r="N6" s="388"/>
      <c r="O6" s="388"/>
      <c r="P6" s="394"/>
    </row>
    <row r="7" spans="1:23" ht="18.5" customHeight="1" x14ac:dyDescent="0.55000000000000004">
      <c r="B7" s="104" t="s">
        <v>61</v>
      </c>
      <c r="C7" s="104" t="s">
        <v>62</v>
      </c>
      <c r="D7" s="105" t="s">
        <v>63</v>
      </c>
      <c r="E7" s="104" t="s">
        <v>64</v>
      </c>
      <c r="F7" s="105" t="s">
        <v>65</v>
      </c>
      <c r="G7" s="104" t="s">
        <v>66</v>
      </c>
      <c r="H7" s="105" t="s">
        <v>67</v>
      </c>
      <c r="I7" s="104" t="s">
        <v>68</v>
      </c>
      <c r="J7" s="105" t="s">
        <v>69</v>
      </c>
      <c r="K7" s="104" t="s">
        <v>70</v>
      </c>
      <c r="L7" s="105" t="s">
        <v>71</v>
      </c>
      <c r="M7" s="104" t="s">
        <v>72</v>
      </c>
      <c r="N7" s="105" t="s">
        <v>73</v>
      </c>
      <c r="O7" s="104" t="s">
        <v>92</v>
      </c>
      <c r="P7" s="105" t="s">
        <v>93</v>
      </c>
    </row>
    <row r="8" spans="1:23" ht="18.5" customHeight="1" x14ac:dyDescent="0.55000000000000004">
      <c r="B8" s="91" t="s">
        <v>74</v>
      </c>
      <c r="C8" s="92"/>
      <c r="D8" s="92"/>
      <c r="E8" s="92"/>
      <c r="F8" s="92"/>
      <c r="G8" s="92"/>
      <c r="H8" s="92"/>
      <c r="I8" s="92"/>
      <c r="J8" s="92"/>
      <c r="K8" s="92"/>
      <c r="L8" s="92"/>
      <c r="M8" s="92"/>
      <c r="N8" s="92"/>
      <c r="O8" s="92"/>
      <c r="P8" s="93"/>
    </row>
    <row r="9" spans="1:23" ht="18.5" customHeight="1" x14ac:dyDescent="0.55000000000000004">
      <c r="B9" s="94"/>
      <c r="C9" s="94"/>
      <c r="D9" s="95"/>
      <c r="E9" s="96"/>
      <c r="F9" s="96"/>
      <c r="G9" s="96"/>
      <c r="H9" s="359"/>
      <c r="I9" s="359"/>
      <c r="J9" s="359"/>
      <c r="K9" s="359"/>
      <c r="L9" s="359"/>
      <c r="M9" s="360"/>
      <c r="N9" s="359"/>
      <c r="O9" s="359">
        <f>SUM(H9:N9)</f>
        <v>0</v>
      </c>
      <c r="P9" s="122">
        <f>O9/$O$20</f>
        <v>0</v>
      </c>
      <c r="Q9" s="97"/>
      <c r="R9" s="385" t="s">
        <v>237</v>
      </c>
      <c r="S9" s="385"/>
      <c r="T9" s="385"/>
      <c r="U9" s="385"/>
      <c r="V9" s="385"/>
      <c r="W9" s="385"/>
    </row>
    <row r="10" spans="1:23" ht="18.5" customHeight="1" x14ac:dyDescent="0.55000000000000004">
      <c r="B10" s="94"/>
      <c r="C10" s="94"/>
      <c r="D10" s="95"/>
      <c r="E10" s="96"/>
      <c r="F10" s="96"/>
      <c r="G10" s="96"/>
      <c r="H10" s="359"/>
      <c r="I10" s="359"/>
      <c r="J10" s="359"/>
      <c r="K10" s="359"/>
      <c r="L10" s="359"/>
      <c r="M10" s="360"/>
      <c r="N10" s="359"/>
      <c r="O10" s="359">
        <f t="shared" ref="O10:O11" si="0">SUM(H10:N10)</f>
        <v>0</v>
      </c>
      <c r="P10" s="122">
        <f>O10/$O$20</f>
        <v>0</v>
      </c>
      <c r="Q10" s="97"/>
      <c r="R10" s="385"/>
      <c r="S10" s="385"/>
      <c r="T10" s="385"/>
      <c r="U10" s="385"/>
      <c r="V10" s="385"/>
      <c r="W10" s="385"/>
    </row>
    <row r="11" spans="1:23" ht="18.5" customHeight="1" x14ac:dyDescent="0.55000000000000004">
      <c r="B11" s="94"/>
      <c r="C11" s="94"/>
      <c r="D11" s="95"/>
      <c r="E11" s="96"/>
      <c r="F11" s="96"/>
      <c r="G11" s="96"/>
      <c r="H11" s="359"/>
      <c r="I11" s="359"/>
      <c r="J11" s="359"/>
      <c r="K11" s="359"/>
      <c r="L11" s="359"/>
      <c r="M11" s="360"/>
      <c r="N11" s="359"/>
      <c r="O11" s="359">
        <f t="shared" si="0"/>
        <v>0</v>
      </c>
      <c r="P11" s="122">
        <f>O11/$O$20</f>
        <v>0</v>
      </c>
      <c r="Q11" s="97"/>
      <c r="R11" s="385"/>
      <c r="S11" s="385"/>
      <c r="T11" s="385"/>
      <c r="U11" s="385"/>
      <c r="V11" s="385"/>
      <c r="W11" s="385"/>
    </row>
    <row r="12" spans="1:23" ht="18.5" customHeight="1" x14ac:dyDescent="0.55000000000000004">
      <c r="B12" s="403" t="s">
        <v>94</v>
      </c>
      <c r="C12" s="404"/>
      <c r="D12" s="405"/>
      <c r="E12" s="96"/>
      <c r="F12" s="96"/>
      <c r="G12" s="96"/>
      <c r="H12" s="359">
        <v>0</v>
      </c>
      <c r="I12" s="359">
        <v>0</v>
      </c>
      <c r="J12" s="359">
        <v>0</v>
      </c>
      <c r="K12" s="359">
        <v>0</v>
      </c>
      <c r="L12" s="359">
        <v>0</v>
      </c>
      <c r="M12" s="360">
        <v>0</v>
      </c>
      <c r="N12" s="359">
        <v>0</v>
      </c>
      <c r="O12" s="359">
        <f t="shared" ref="O12" si="1">SUM(H12:N12)</f>
        <v>0</v>
      </c>
      <c r="P12" s="122">
        <f>O12/$O$20</f>
        <v>0</v>
      </c>
      <c r="Q12" s="97"/>
      <c r="R12" s="385"/>
      <c r="S12" s="385"/>
      <c r="T12" s="385"/>
      <c r="U12" s="385"/>
      <c r="V12" s="385"/>
      <c r="W12" s="385"/>
    </row>
    <row r="13" spans="1:23" ht="18.5" customHeight="1" x14ac:dyDescent="0.55000000000000004">
      <c r="B13" s="399" t="s">
        <v>75</v>
      </c>
      <c r="C13" s="400"/>
      <c r="D13" s="400"/>
      <c r="E13" s="400"/>
      <c r="F13" s="400"/>
      <c r="G13" s="400"/>
      <c r="H13" s="400"/>
      <c r="I13" s="400"/>
      <c r="J13" s="400"/>
      <c r="K13" s="400"/>
      <c r="L13" s="400"/>
      <c r="M13" s="400"/>
      <c r="N13" s="400"/>
      <c r="O13" s="400"/>
      <c r="P13" s="401"/>
      <c r="Q13" s="97"/>
      <c r="R13" s="385"/>
      <c r="S13" s="385"/>
      <c r="T13" s="385"/>
      <c r="U13" s="385"/>
      <c r="V13" s="385"/>
      <c r="W13" s="385"/>
    </row>
    <row r="14" spans="1:23" ht="18.5" customHeight="1" x14ac:dyDescent="0.55000000000000004">
      <c r="B14" s="121"/>
      <c r="C14" s="121"/>
      <c r="D14" s="95"/>
      <c r="E14" s="96"/>
      <c r="F14" s="96"/>
      <c r="G14" s="96"/>
      <c r="H14" s="359"/>
      <c r="I14" s="359"/>
      <c r="J14" s="359"/>
      <c r="K14" s="359"/>
      <c r="L14" s="359"/>
      <c r="M14" s="360"/>
      <c r="N14" s="359"/>
      <c r="O14" s="359">
        <f>SUM(H14:N14)</f>
        <v>0</v>
      </c>
      <c r="P14" s="122">
        <f>O14/$O$20</f>
        <v>0</v>
      </c>
      <c r="Q14" s="97"/>
      <c r="R14" s="385"/>
      <c r="S14" s="385"/>
      <c r="T14" s="385"/>
      <c r="U14" s="385"/>
      <c r="V14" s="385"/>
      <c r="W14" s="385"/>
    </row>
    <row r="15" spans="1:23" ht="18.5" customHeight="1" x14ac:dyDescent="0.55000000000000004">
      <c r="B15" s="121"/>
      <c r="C15" s="406" t="s">
        <v>235</v>
      </c>
      <c r="D15" s="407"/>
      <c r="E15" s="96"/>
      <c r="F15" s="96"/>
      <c r="G15" s="96"/>
      <c r="H15" s="359"/>
      <c r="I15" s="359"/>
      <c r="J15" s="359"/>
      <c r="K15" s="359"/>
      <c r="L15" s="359"/>
      <c r="M15" s="360"/>
      <c r="N15" s="359"/>
      <c r="O15" s="359">
        <f t="shared" ref="O15:O19" si="2">SUM(H15:N15)</f>
        <v>0</v>
      </c>
      <c r="P15" s="122">
        <f>O15/$O$20</f>
        <v>0</v>
      </c>
      <c r="Q15" s="97"/>
      <c r="R15" s="97"/>
      <c r="S15" s="98"/>
    </row>
    <row r="16" spans="1:23" ht="18" x14ac:dyDescent="0.55000000000000004">
      <c r="B16" s="169"/>
      <c r="C16" s="406" t="s">
        <v>236</v>
      </c>
      <c r="D16" s="407"/>
      <c r="E16" s="96"/>
      <c r="F16" s="96"/>
      <c r="G16" s="170"/>
      <c r="H16" s="360"/>
      <c r="I16" s="360"/>
      <c r="J16" s="360"/>
      <c r="K16" s="360"/>
      <c r="L16" s="360"/>
      <c r="M16" s="360"/>
      <c r="N16" s="359"/>
      <c r="O16" s="359">
        <f t="shared" si="2"/>
        <v>0</v>
      </c>
      <c r="P16" s="122">
        <f t="shared" ref="P16:P20" si="3">O16/$O$20</f>
        <v>0</v>
      </c>
      <c r="Q16" s="97"/>
      <c r="R16" s="97"/>
      <c r="S16" s="98"/>
    </row>
    <row r="17" spans="2:19" ht="18.5" customHeight="1" x14ac:dyDescent="0.55000000000000004">
      <c r="B17" s="403" t="s">
        <v>95</v>
      </c>
      <c r="C17" s="404"/>
      <c r="D17" s="405"/>
      <c r="E17" s="99"/>
      <c r="F17" s="99"/>
      <c r="G17" s="100"/>
      <c r="H17" s="361">
        <v>187679.08000000002</v>
      </c>
      <c r="I17" s="359">
        <v>0</v>
      </c>
      <c r="J17" s="359">
        <v>0</v>
      </c>
      <c r="K17" s="359">
        <v>0</v>
      </c>
      <c r="L17" s="359">
        <v>0</v>
      </c>
      <c r="M17" s="359">
        <v>0</v>
      </c>
      <c r="N17" s="359">
        <v>0</v>
      </c>
      <c r="O17" s="359">
        <f t="shared" si="2"/>
        <v>187679.08000000002</v>
      </c>
      <c r="P17" s="122">
        <f t="shared" si="3"/>
        <v>0.93457943925233644</v>
      </c>
      <c r="Q17" s="97"/>
      <c r="R17" s="97"/>
      <c r="S17" s="98"/>
    </row>
    <row r="18" spans="2:19" ht="18.5" customHeight="1" x14ac:dyDescent="0.55000000000000004">
      <c r="B18" s="399" t="str">
        <f>"(c) Physical Contingency ("&amp;TEXT('1.Params_8.Sensitivity'!D3,"0%")&amp;")"</f>
        <v>(c) Physical Contingency (2%)</v>
      </c>
      <c r="C18" s="400"/>
      <c r="D18" s="401"/>
      <c r="E18" s="96"/>
      <c r="F18" s="96"/>
      <c r="G18" s="96"/>
      <c r="H18" s="243">
        <f>(H$12+H$17)*'1.Params_8.Sensitivity'!$D$3</f>
        <v>3753.5816000000004</v>
      </c>
      <c r="I18" s="240">
        <f>(I$12+I$17)*'1.Params_8.Sensitivity'!$D$3</f>
        <v>0</v>
      </c>
      <c r="J18" s="240">
        <f>(J$12+J$17)*'1.Params_8.Sensitivity'!$D$3</f>
        <v>0</v>
      </c>
      <c r="K18" s="240">
        <f>(K$12+K$17)*'1.Params_8.Sensitivity'!$D$3</f>
        <v>0</v>
      </c>
      <c r="L18" s="240">
        <f>(L$12+L$17)*'1.Params_8.Sensitivity'!$D$3</f>
        <v>0</v>
      </c>
      <c r="M18" s="240">
        <f>(M$12+M$17)*'1.Params_8.Sensitivity'!$D$3</f>
        <v>0</v>
      </c>
      <c r="N18" s="240">
        <f>(N$12+N$17)*'1.Params_8.Sensitivity'!$D$3</f>
        <v>0</v>
      </c>
      <c r="O18" s="241">
        <f t="shared" si="2"/>
        <v>3753.5816000000004</v>
      </c>
      <c r="P18" s="122">
        <f t="shared" si="3"/>
        <v>1.8691588785046731E-2</v>
      </c>
      <c r="Q18" s="97"/>
      <c r="R18" s="168"/>
      <c r="S18" s="98"/>
    </row>
    <row r="19" spans="2:19" ht="18.5" customHeight="1" x14ac:dyDescent="0.55000000000000004">
      <c r="B19" s="399" t="str">
        <f>"(d) Price Contingency ("&amp;TEXT('1.Params_8.Sensitivity'!D4,"0%")&amp;")"</f>
        <v>(d) Price Contingency (5%)</v>
      </c>
      <c r="C19" s="400"/>
      <c r="D19" s="401"/>
      <c r="E19" s="96"/>
      <c r="F19" s="96"/>
      <c r="G19" s="96"/>
      <c r="H19" s="242">
        <f>(H$12+H$17)*'1.Params_8.Sensitivity'!$D$4</f>
        <v>9383.9540000000015</v>
      </c>
      <c r="I19" s="240">
        <f>(I$12+I$17)*'1.Params_8.Sensitivity'!$D$4</f>
        <v>0</v>
      </c>
      <c r="J19" s="240">
        <f>(J$12+J$17)*'1.Params_8.Sensitivity'!$D$4</f>
        <v>0</v>
      </c>
      <c r="K19" s="240">
        <f>(K$12+K$17)*'1.Params_8.Sensitivity'!$D$4</f>
        <v>0</v>
      </c>
      <c r="L19" s="240">
        <f>(L$12+L$17)*'1.Params_8.Sensitivity'!$D$4</f>
        <v>0</v>
      </c>
      <c r="M19" s="240">
        <f>(M$12+M$17)*'1.Params_8.Sensitivity'!$D$4</f>
        <v>0</v>
      </c>
      <c r="N19" s="240">
        <f>(N$12+N$17)*'1.Params_8.Sensitivity'!$D$4</f>
        <v>0</v>
      </c>
      <c r="O19" s="241">
        <f t="shared" si="2"/>
        <v>9383.9540000000015</v>
      </c>
      <c r="P19" s="122">
        <f t="shared" si="3"/>
        <v>4.6728971962616828E-2</v>
      </c>
      <c r="Q19" s="97"/>
      <c r="R19" s="97"/>
      <c r="S19" s="98"/>
    </row>
    <row r="20" spans="2:19" ht="18.5" customHeight="1" x14ac:dyDescent="0.55000000000000004">
      <c r="B20" s="402" t="s">
        <v>96</v>
      </c>
      <c r="C20" s="402"/>
      <c r="D20" s="402"/>
      <c r="E20" s="101"/>
      <c r="F20" s="101"/>
      <c r="G20" s="101"/>
      <c r="H20" s="244">
        <f>H$12+H$17+H$18+H$19</f>
        <v>200816.61560000002</v>
      </c>
      <c r="I20" s="241">
        <f t="shared" ref="I20:N20" si="4">I$12+I$17+I$18+I$19</f>
        <v>0</v>
      </c>
      <c r="J20" s="241">
        <f t="shared" si="4"/>
        <v>0</v>
      </c>
      <c r="K20" s="241">
        <f t="shared" si="4"/>
        <v>0</v>
      </c>
      <c r="L20" s="241">
        <f t="shared" si="4"/>
        <v>0</v>
      </c>
      <c r="M20" s="241">
        <f t="shared" si="4"/>
        <v>0</v>
      </c>
      <c r="N20" s="241">
        <f t="shared" si="4"/>
        <v>0</v>
      </c>
      <c r="O20" s="245">
        <f>SUM(H20:N20)</f>
        <v>200816.61560000002</v>
      </c>
      <c r="P20" s="122">
        <f t="shared" si="3"/>
        <v>1</v>
      </c>
    </row>
    <row r="21" spans="2:19" ht="18.5" customHeight="1" x14ac:dyDescent="0.55000000000000004">
      <c r="B21" s="90" t="s">
        <v>97</v>
      </c>
    </row>
  </sheetData>
  <sheetProtection sheet="1" objects="1" scenarios="1"/>
  <mergeCells count="24">
    <mergeCell ref="B19:D19"/>
    <mergeCell ref="B20:D20"/>
    <mergeCell ref="B12:D12"/>
    <mergeCell ref="B13:P13"/>
    <mergeCell ref="B17:D17"/>
    <mergeCell ref="B18:D18"/>
    <mergeCell ref="C15:D15"/>
    <mergeCell ref="C16:D16"/>
    <mergeCell ref="R9:W14"/>
    <mergeCell ref="B3:B6"/>
    <mergeCell ref="H3:P3"/>
    <mergeCell ref="G3:G6"/>
    <mergeCell ref="F3:F6"/>
    <mergeCell ref="E3:E6"/>
    <mergeCell ref="D3:D6"/>
    <mergeCell ref="H4:H6"/>
    <mergeCell ref="C3:C6"/>
    <mergeCell ref="I4:L4"/>
    <mergeCell ref="M4:M6"/>
    <mergeCell ref="N4:N6"/>
    <mergeCell ref="P4:P6"/>
    <mergeCell ref="I5:J5"/>
    <mergeCell ref="K5:L5"/>
    <mergeCell ref="O4:O6"/>
  </mergeCells>
  <phoneticPr fontId="4"/>
  <pageMargins left="0.7" right="0.7" top="0.75" bottom="0.75" header="0.3" footer="0.3"/>
  <pageSetup paperSize="9" scale="49" firstPageNumber="71" fitToHeight="0" orientation="portrait" useFirstPageNumber="1" r:id="rId1"/>
  <headerFooter scaleWithDoc="0" alignWithMargins="0">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DD81A-7B7F-4982-9D6E-5E73A71D87A8}">
  <sheetPr codeName="Sheet4">
    <tabColor theme="4" tint="0.59999389629810485"/>
  </sheetPr>
  <dimension ref="A1:AI58"/>
  <sheetViews>
    <sheetView zoomScale="70" zoomScaleNormal="70" workbookViewId="0">
      <pane xSplit="1" ySplit="1" topLeftCell="B2" activePane="bottomRight" state="frozen"/>
      <selection pane="topRight" activeCell="B1" sqref="B1"/>
      <selection pane="bottomLeft" activeCell="A3" sqref="A3"/>
      <selection pane="bottomRight"/>
    </sheetView>
  </sheetViews>
  <sheetFormatPr defaultRowHeight="18" x14ac:dyDescent="0.55000000000000004"/>
  <cols>
    <col min="1" max="1" width="2.58203125" customWidth="1"/>
    <col min="2" max="2" width="67.4140625" customWidth="1"/>
    <col min="3" max="3" width="9.9140625" customWidth="1"/>
    <col min="4" max="4" width="8.6640625" customWidth="1"/>
    <col min="5" max="8" width="9.75" customWidth="1"/>
    <col min="9" max="32" width="9.75" bestFit="1" customWidth="1"/>
  </cols>
  <sheetData>
    <row r="1" spans="1:9" s="3" customFormat="1" ht="20" x14ac:dyDescent="0.6">
      <c r="A1" s="5" t="str">
        <f>"Financial Costs ("&amp;MID('0.Contents'!A1,20,(LEN('0.Contents'!A1)-20))&amp;")----General format"</f>
        <v>Financial Costs (Power Transmission)----General format</v>
      </c>
    </row>
    <row r="2" spans="1:9" ht="19" customHeight="1" x14ac:dyDescent="0.6">
      <c r="A2" s="6"/>
      <c r="B2" s="412" t="s">
        <v>11</v>
      </c>
      <c r="C2" s="411" t="s">
        <v>27</v>
      </c>
      <c r="D2" s="411"/>
      <c r="E2" s="411"/>
      <c r="F2" s="414" t="s">
        <v>4</v>
      </c>
      <c r="G2" s="414" t="s">
        <v>127</v>
      </c>
    </row>
    <row r="3" spans="1:9" ht="36.5" thickBot="1" x14ac:dyDescent="0.65">
      <c r="A3" s="6"/>
      <c r="B3" s="413"/>
      <c r="C3" s="163" t="s">
        <v>125</v>
      </c>
      <c r="D3" s="163" t="s">
        <v>124</v>
      </c>
      <c r="E3" s="163" t="s">
        <v>126</v>
      </c>
      <c r="F3" s="415"/>
      <c r="G3" s="416"/>
    </row>
    <row r="4" spans="1:9" ht="18.5" thickBot="1" x14ac:dyDescent="0.6">
      <c r="B4" s="4" t="s">
        <v>5</v>
      </c>
      <c r="C4" s="362">
        <v>0</v>
      </c>
      <c r="D4" s="363">
        <v>0</v>
      </c>
      <c r="E4" s="363">
        <v>0</v>
      </c>
      <c r="F4" s="362">
        <v>0</v>
      </c>
      <c r="G4" s="52">
        <f>SUM(C4:E4)+F4*'1.Params_8.Sensitivity'!$D$15</f>
        <v>0</v>
      </c>
    </row>
    <row r="5" spans="1:9" ht="18.5" thickBot="1" x14ac:dyDescent="0.6">
      <c r="B5" s="4" t="s">
        <v>6</v>
      </c>
      <c r="C5" s="310">
        <f>SUM(C6:C7)</f>
        <v>0</v>
      </c>
      <c r="D5" s="310">
        <f t="shared" ref="D5:E5" si="0">SUM(D6:D7)</f>
        <v>0</v>
      </c>
      <c r="E5" s="310">
        <f t="shared" si="0"/>
        <v>0</v>
      </c>
      <c r="F5" s="310">
        <f>SUM(F6:F7)</f>
        <v>0</v>
      </c>
      <c r="G5" s="310">
        <f>SUM(G6:G7)</f>
        <v>0</v>
      </c>
    </row>
    <row r="6" spans="1:9" ht="18.5" thickBot="1" x14ac:dyDescent="0.6">
      <c r="B6" s="4" t="s">
        <v>9</v>
      </c>
      <c r="C6" s="362">
        <v>0</v>
      </c>
      <c r="D6" s="364">
        <v>0</v>
      </c>
      <c r="E6" s="364">
        <v>0</v>
      </c>
      <c r="F6" s="362">
        <v>0</v>
      </c>
      <c r="G6" s="52">
        <f>SUM(C6:E6)+F6*'1.Params_8.Sensitivity'!$D$15</f>
        <v>0</v>
      </c>
    </row>
    <row r="7" spans="1:9" ht="18.5" thickBot="1" x14ac:dyDescent="0.6">
      <c r="B7" s="4" t="s">
        <v>10</v>
      </c>
      <c r="C7" s="362">
        <v>0</v>
      </c>
      <c r="D7" s="364">
        <v>0</v>
      </c>
      <c r="E7" s="364">
        <v>0</v>
      </c>
      <c r="F7" s="362">
        <v>0</v>
      </c>
      <c r="G7" s="52">
        <f>SUM(C7:E7)+F7*'1.Params_8.Sensitivity'!$D$15</f>
        <v>0</v>
      </c>
    </row>
    <row r="8" spans="1:9" ht="18.5" thickBot="1" x14ac:dyDescent="0.6">
      <c r="B8" s="4" t="s">
        <v>7</v>
      </c>
      <c r="C8" s="362">
        <v>0</v>
      </c>
      <c r="D8" s="364">
        <v>0</v>
      </c>
      <c r="E8" s="364">
        <v>0</v>
      </c>
      <c r="F8" s="362">
        <v>0</v>
      </c>
      <c r="G8" s="52">
        <f>SUM(C8:E8)+F8*'1.Params_8.Sensitivity'!$D$15</f>
        <v>0</v>
      </c>
    </row>
    <row r="9" spans="1:9" ht="18.5" thickBot="1" x14ac:dyDescent="0.6">
      <c r="B9" s="4" t="s">
        <v>190</v>
      </c>
      <c r="C9" s="362">
        <v>0</v>
      </c>
      <c r="D9" s="364">
        <v>0</v>
      </c>
      <c r="E9" s="364">
        <v>0</v>
      </c>
      <c r="F9" s="362">
        <v>0</v>
      </c>
      <c r="G9" s="52">
        <f>SUM(C9:E9)+F9*'1.Params_8.Sensitivity'!$D$15</f>
        <v>0</v>
      </c>
      <c r="I9" s="311"/>
    </row>
    <row r="10" spans="1:9" ht="18.5" thickBot="1" x14ac:dyDescent="0.6">
      <c r="B10" s="4" t="s">
        <v>8</v>
      </c>
      <c r="C10" s="362">
        <v>0</v>
      </c>
      <c r="D10" s="364">
        <v>0</v>
      </c>
      <c r="E10" s="364">
        <v>0</v>
      </c>
      <c r="F10" s="362">
        <v>0</v>
      </c>
      <c r="G10" s="52">
        <f>SUM(C10:E10)+F10*'1.Params_8.Sensitivity'!$D$15</f>
        <v>0</v>
      </c>
    </row>
    <row r="11" spans="1:9" ht="18.5" thickBot="1" x14ac:dyDescent="0.6">
      <c r="B11" s="9" t="s">
        <v>32</v>
      </c>
      <c r="C11" s="362">
        <v>0</v>
      </c>
      <c r="D11" s="364">
        <v>0</v>
      </c>
      <c r="E11" s="364">
        <v>0</v>
      </c>
      <c r="F11" s="362">
        <v>0</v>
      </c>
      <c r="G11" s="54">
        <f>SUM(C11:E11)+F11*'1.Params_8.Sensitivity'!$D$15</f>
        <v>0</v>
      </c>
    </row>
    <row r="12" spans="1:9" x14ac:dyDescent="0.55000000000000004">
      <c r="B12" s="171" t="s">
        <v>238</v>
      </c>
      <c r="C12" s="309">
        <f>SUM(C4,C6:C11)</f>
        <v>0</v>
      </c>
      <c r="D12" s="309">
        <f>SUM(D4,D6:D11)</f>
        <v>0</v>
      </c>
      <c r="E12" s="309">
        <f>SUM(E4,E6:E11)</f>
        <v>0</v>
      </c>
      <c r="F12" s="309">
        <f>SUM(F4,F6:F11)</f>
        <v>0</v>
      </c>
      <c r="G12" s="309">
        <f>SUM(G4,G6:G11)</f>
        <v>0</v>
      </c>
    </row>
    <row r="13" spans="1:9" x14ac:dyDescent="0.55000000000000004">
      <c r="B13" s="4" t="str">
        <f>"Physical Contingency ("&amp;TEXT('1.Params_8.Sensitivity'!D3,"0%")&amp;")"</f>
        <v>Physical Contingency (2%)</v>
      </c>
      <c r="C13" s="62">
        <f>C12*'1.Params_8.Sensitivity'!$D$3</f>
        <v>0</v>
      </c>
      <c r="D13" s="62">
        <f>D12*'1.Params_8.Sensitivity'!$D$3</f>
        <v>0</v>
      </c>
      <c r="E13" s="62">
        <f>E12*'1.Params_8.Sensitivity'!$D$3</f>
        <v>0</v>
      </c>
      <c r="F13" s="62">
        <f>F12*'1.Params_8.Sensitivity'!$D$3</f>
        <v>0</v>
      </c>
      <c r="G13" s="61">
        <f>SUM(C13:E13)+F13*'1.Params_8.Sensitivity'!$D$15</f>
        <v>0</v>
      </c>
    </row>
    <row r="14" spans="1:9" x14ac:dyDescent="0.55000000000000004">
      <c r="B14" s="172" t="str">
        <f>_xlfn.CONCAT("Price Contingency, Local currency ("&amp;TEXT('1.Params_8.Sensitivity'!D4,"0%")&amp;")"," / Foreign currency ("&amp;TEXT('1.Params_8.Sensitivity'!D5,"0%")&amp;")")</f>
        <v>Price Contingency, Local currency (5%) / Foreign currency (5%)</v>
      </c>
      <c r="C14" s="66">
        <f>C12*'1.Params_8.Sensitivity'!$D$4</f>
        <v>0</v>
      </c>
      <c r="D14" s="66">
        <f>D12*'1.Params_8.Sensitivity'!$D$4</f>
        <v>0</v>
      </c>
      <c r="E14" s="66">
        <f>E12*'1.Params_8.Sensitivity'!$D$4</f>
        <v>0</v>
      </c>
      <c r="F14" s="66">
        <f>F12*'1.Params_8.Sensitivity'!$D$5</f>
        <v>0</v>
      </c>
      <c r="G14" s="51">
        <f>SUM(C14:E14)+F14*'1.Params_8.Sensitivity'!$D$15</f>
        <v>0</v>
      </c>
    </row>
    <row r="15" spans="1:9" x14ac:dyDescent="0.55000000000000004">
      <c r="B15" s="171" t="s">
        <v>243</v>
      </c>
      <c r="C15" s="66">
        <f>SUM(C12:C14)</f>
        <v>0</v>
      </c>
      <c r="D15" s="66">
        <f t="shared" ref="D15:E15" si="1">SUM(D12:D14)</f>
        <v>0</v>
      </c>
      <c r="E15" s="66">
        <f t="shared" si="1"/>
        <v>0</v>
      </c>
      <c r="F15" s="66">
        <f>SUM(F12:F14)</f>
        <v>0</v>
      </c>
      <c r="G15" s="334">
        <f>SUM(G12:G14)</f>
        <v>0</v>
      </c>
      <c r="H15" s="135"/>
    </row>
    <row r="16" spans="1:9" x14ac:dyDescent="0.55000000000000004">
      <c r="B16" s="171" t="s">
        <v>246</v>
      </c>
      <c r="C16" s="56">
        <f>C15-C14</f>
        <v>0</v>
      </c>
      <c r="D16" s="56">
        <f t="shared" ref="D16:F16" si="2">D15-D14</f>
        <v>0</v>
      </c>
      <c r="E16" s="56">
        <f t="shared" si="2"/>
        <v>0</v>
      </c>
      <c r="F16" s="56">
        <f t="shared" si="2"/>
        <v>0</v>
      </c>
      <c r="G16" s="290">
        <f t="shared" ref="G16" si="3">G15-G14</f>
        <v>0</v>
      </c>
      <c r="H16" s="135" t="s">
        <v>110</v>
      </c>
    </row>
    <row r="17" spans="2:14" ht="18.5" thickBot="1" x14ac:dyDescent="0.6">
      <c r="B17" s="292"/>
      <c r="C17" s="55"/>
      <c r="D17" s="55"/>
      <c r="E17" s="55"/>
      <c r="F17" s="55"/>
      <c r="G17" s="291"/>
    </row>
    <row r="18" spans="2:14" x14ac:dyDescent="0.55000000000000004">
      <c r="B18" s="293" t="s">
        <v>239</v>
      </c>
      <c r="C18" s="294" t="s">
        <v>125</v>
      </c>
      <c r="D18" s="295" t="s">
        <v>240</v>
      </c>
      <c r="E18" s="295" t="s">
        <v>241</v>
      </c>
      <c r="F18" s="294" t="s">
        <v>242</v>
      </c>
      <c r="G18" s="296" t="s">
        <v>24</v>
      </c>
      <c r="I18" s="409" t="s">
        <v>245</v>
      </c>
      <c r="J18" s="410"/>
      <c r="K18" s="410"/>
      <c r="L18" s="410"/>
      <c r="M18" s="410"/>
      <c r="N18" s="410"/>
    </row>
    <row r="19" spans="2:14" x14ac:dyDescent="0.55000000000000004">
      <c r="B19" s="297" t="s">
        <v>32</v>
      </c>
      <c r="C19" s="56">
        <f>SUM('2a.FCosts'!H15:H16)+C11</f>
        <v>0</v>
      </c>
      <c r="D19" s="173">
        <f>SUM('2a.FCosts'!I15:L16)+D11</f>
        <v>0</v>
      </c>
      <c r="E19" s="173">
        <f>SUM('2a.FCosts'!M15:N16)+E11</f>
        <v>0</v>
      </c>
      <c r="F19" s="56">
        <f>0+F11</f>
        <v>0</v>
      </c>
      <c r="G19" s="298">
        <f>SUM(C19:E19)+F19*'1.Params_8.Sensitivity'!$D$15</f>
        <v>0</v>
      </c>
      <c r="I19" s="410"/>
      <c r="J19" s="410"/>
      <c r="K19" s="410"/>
      <c r="L19" s="410"/>
      <c r="M19" s="410"/>
      <c r="N19" s="410"/>
    </row>
    <row r="20" spans="2:14" x14ac:dyDescent="0.55000000000000004">
      <c r="B20" s="299" t="s">
        <v>238</v>
      </c>
      <c r="C20" s="62">
        <f>'2a.FCosts'!H12+'2a.FCosts'!H17+'2b.FCosts'!C12</f>
        <v>187679.08000000002</v>
      </c>
      <c r="D20" s="41">
        <f>SUM('2a.FCosts'!I12:L12)+SUM('2a.FCosts'!I17:L17)+'2b.FCosts'!D12</f>
        <v>0</v>
      </c>
      <c r="E20" s="41">
        <f>SUM('2a.FCosts'!M12:N12)+SUM('2a.FCosts'!M17:N17)+'2b.FCosts'!E12</f>
        <v>0</v>
      </c>
      <c r="F20" s="62">
        <f>0+F12</f>
        <v>0</v>
      </c>
      <c r="G20" s="298">
        <f>SUM(C20:E20)+F20*'1.Params_8.Sensitivity'!D15</f>
        <v>187679.08000000002</v>
      </c>
      <c r="I20" s="410"/>
      <c r="J20" s="410"/>
      <c r="K20" s="410"/>
      <c r="L20" s="410"/>
      <c r="M20" s="410"/>
      <c r="N20" s="410"/>
    </row>
    <row r="21" spans="2:14" x14ac:dyDescent="0.55000000000000004">
      <c r="B21" s="300" t="s">
        <v>26</v>
      </c>
      <c r="C21" s="62">
        <f>'2a.FCosts'!H18+'2b.FCosts'!C13</f>
        <v>3753.5816000000004</v>
      </c>
      <c r="D21" s="41">
        <f>SUM('2a.FCosts'!I18:L18)+'2b.FCosts'!D13</f>
        <v>0</v>
      </c>
      <c r="E21" s="41">
        <f>SUM('2a.FCosts'!M18:N18)+'2b.FCosts'!E13</f>
        <v>0</v>
      </c>
      <c r="F21" s="62">
        <f>0+F13</f>
        <v>0</v>
      </c>
      <c r="G21" s="301">
        <f>SUM(C21:E21)+F21*'1.Params_8.Sensitivity'!D15</f>
        <v>3753.5816000000004</v>
      </c>
      <c r="I21" s="410"/>
      <c r="J21" s="410"/>
      <c r="K21" s="410"/>
      <c r="L21" s="410"/>
      <c r="M21" s="410"/>
      <c r="N21" s="410"/>
    </row>
    <row r="22" spans="2:14" x14ac:dyDescent="0.55000000000000004">
      <c r="B22" s="302" t="s">
        <v>25</v>
      </c>
      <c r="C22" s="55">
        <f>'2a.FCosts'!H19+'2b.FCosts'!C14</f>
        <v>9383.9540000000015</v>
      </c>
      <c r="D22" s="44">
        <f>SUM('2a.FCosts'!I19:L19)+'2b.FCosts'!D14</f>
        <v>0</v>
      </c>
      <c r="E22" s="44">
        <f>SUM('2a.FCosts'!M19:N19)+'2b.FCosts'!E14</f>
        <v>0</v>
      </c>
      <c r="F22" s="55">
        <f>0+F14</f>
        <v>0</v>
      </c>
      <c r="G22" s="303">
        <f>SUM(C22:E22)+F22*'1.Params_8.Sensitivity'!D15</f>
        <v>9383.9540000000015</v>
      </c>
      <c r="I22" s="410"/>
      <c r="J22" s="410"/>
      <c r="K22" s="410"/>
      <c r="L22" s="410"/>
      <c r="M22" s="410"/>
      <c r="N22" s="410"/>
    </row>
    <row r="23" spans="2:14" x14ac:dyDescent="0.55000000000000004">
      <c r="B23" s="299" t="s">
        <v>243</v>
      </c>
      <c r="C23" s="56">
        <f>'2a.FCosts'!$H$20+C15</f>
        <v>200816.61560000002</v>
      </c>
      <c r="D23" s="39">
        <f>SUM('2a.FCosts'!I20:L20)+'2b.FCosts'!D15</f>
        <v>0</v>
      </c>
      <c r="E23" s="39">
        <f>SUM('2a.FCosts'!M20:N20)+'2b.FCosts'!E15</f>
        <v>0</v>
      </c>
      <c r="F23" s="56">
        <f>0+F15</f>
        <v>0</v>
      </c>
      <c r="G23" s="307">
        <f>SUM(C23:E23)+F23*'1.Params_8.Sensitivity'!D15</f>
        <v>200816.61560000002</v>
      </c>
      <c r="H23" s="135"/>
      <c r="I23" s="410"/>
      <c r="J23" s="410"/>
      <c r="K23" s="410"/>
      <c r="L23" s="410"/>
      <c r="M23" s="410"/>
      <c r="N23" s="410"/>
    </row>
    <row r="24" spans="2:14" ht="18.5" thickBot="1" x14ac:dyDescent="0.6">
      <c r="B24" s="304" t="s">
        <v>244</v>
      </c>
      <c r="C24" s="305">
        <f>C23-C22</f>
        <v>191432.66160000002</v>
      </c>
      <c r="D24" s="305">
        <f t="shared" ref="D24:G24" si="4">D23-D22</f>
        <v>0</v>
      </c>
      <c r="E24" s="305">
        <f t="shared" si="4"/>
        <v>0</v>
      </c>
      <c r="F24" s="305">
        <f t="shared" si="4"/>
        <v>0</v>
      </c>
      <c r="G24" s="306">
        <f t="shared" si="4"/>
        <v>191432.66160000002</v>
      </c>
      <c r="H24" s="135" t="s">
        <v>110</v>
      </c>
    </row>
    <row r="25" spans="2:14" x14ac:dyDescent="0.55000000000000004">
      <c r="C25" s="51"/>
      <c r="D25" s="51"/>
      <c r="E25" s="51"/>
      <c r="F25" s="51"/>
      <c r="G25" s="51"/>
    </row>
    <row r="26" spans="2:14" x14ac:dyDescent="0.55000000000000004">
      <c r="B26" s="7" t="s">
        <v>11</v>
      </c>
      <c r="C26" s="14">
        <v>1</v>
      </c>
      <c r="D26" s="12">
        <v>2</v>
      </c>
      <c r="E26" s="14">
        <v>3</v>
      </c>
      <c r="F26" s="12">
        <v>4</v>
      </c>
      <c r="G26" s="14">
        <v>5</v>
      </c>
      <c r="H26" s="12">
        <v>6</v>
      </c>
      <c r="I26" s="7" t="s">
        <v>24</v>
      </c>
    </row>
    <row r="27" spans="2:14" ht="18.5" thickBot="1" x14ac:dyDescent="0.6">
      <c r="B27" s="17" t="s">
        <v>258</v>
      </c>
      <c r="C27" s="164">
        <f t="shared" ref="C27:H27" si="5">C28/$I$28</f>
        <v>8.6275815995646321E-2</v>
      </c>
      <c r="D27" s="164">
        <f t="shared" si="5"/>
        <v>0.15549155669031645</v>
      </c>
      <c r="E27" s="164">
        <f t="shared" si="5"/>
        <v>0.25738161103584273</v>
      </c>
      <c r="F27" s="164">
        <f t="shared" si="5"/>
        <v>0.21516125033113079</v>
      </c>
      <c r="G27" s="164">
        <f t="shared" si="5"/>
        <v>0.18180477495245265</v>
      </c>
      <c r="H27" s="164">
        <f t="shared" si="5"/>
        <v>0.10388499099461122</v>
      </c>
      <c r="I27" s="71">
        <f>SUM(C27:H27)</f>
        <v>1</v>
      </c>
      <c r="J27" s="24" t="s">
        <v>41</v>
      </c>
    </row>
    <row r="28" spans="2:14" ht="18.5" thickBot="1" x14ac:dyDescent="0.6">
      <c r="B28" s="64" t="s">
        <v>29</v>
      </c>
      <c r="C28" s="362">
        <v>16516.00908775843</v>
      </c>
      <c r="D28" s="365">
        <v>29766.162553554561</v>
      </c>
      <c r="E28" s="362">
        <v>49271.246847487302</v>
      </c>
      <c r="F28" s="362">
        <v>41188.890824072245</v>
      </c>
      <c r="G28" s="366">
        <v>34803.371960737022</v>
      </c>
      <c r="H28" s="366">
        <v>19886.980326390458</v>
      </c>
      <c r="I28" s="124">
        <f>SUM(C28:H28)</f>
        <v>191432.66159999999</v>
      </c>
      <c r="J28" s="135" t="s">
        <v>110</v>
      </c>
    </row>
    <row r="29" spans="2:14" x14ac:dyDescent="0.55000000000000004">
      <c r="C29" s="408" t="s">
        <v>133</v>
      </c>
      <c r="D29" s="408"/>
      <c r="E29" s="408"/>
      <c r="F29" s="408"/>
      <c r="G29" s="408"/>
      <c r="H29" s="408"/>
      <c r="I29" s="39">
        <f>G24-I28</f>
        <v>0</v>
      </c>
      <c r="J29" s="24" t="s">
        <v>118</v>
      </c>
    </row>
    <row r="31" spans="2:14" x14ac:dyDescent="0.55000000000000004">
      <c r="B31" s="7" t="s">
        <v>11</v>
      </c>
      <c r="C31" s="9"/>
    </row>
    <row r="32" spans="2:14" ht="18.5" thickBot="1" x14ac:dyDescent="0.6">
      <c r="B32" s="16" t="s">
        <v>116</v>
      </c>
    </row>
    <row r="33" spans="2:6" ht="18.5" thickBot="1" x14ac:dyDescent="0.6">
      <c r="B33" s="4" t="s">
        <v>115</v>
      </c>
      <c r="C33" s="362">
        <v>0</v>
      </c>
    </row>
    <row r="34" spans="2:6" ht="18.5" thickBot="1" x14ac:dyDescent="0.6">
      <c r="B34" s="4" t="s">
        <v>47</v>
      </c>
      <c r="C34" s="367">
        <v>0.1</v>
      </c>
    </row>
    <row r="35" spans="2:6" ht="18.5" thickBot="1" x14ac:dyDescent="0.6">
      <c r="B35" s="4" t="s">
        <v>128</v>
      </c>
      <c r="C35" s="67"/>
    </row>
    <row r="36" spans="2:6" ht="18.5" thickBot="1" x14ac:dyDescent="0.6">
      <c r="B36" s="4" t="s">
        <v>115</v>
      </c>
      <c r="C36" s="362">
        <v>0</v>
      </c>
    </row>
    <row r="37" spans="2:6" ht="18.5" thickBot="1" x14ac:dyDescent="0.6">
      <c r="B37" s="4" t="s">
        <v>47</v>
      </c>
      <c r="C37" s="367">
        <v>0.1</v>
      </c>
    </row>
    <row r="38" spans="2:6" ht="18.5" thickBot="1" x14ac:dyDescent="0.6">
      <c r="B38" s="4" t="s">
        <v>117</v>
      </c>
      <c r="C38" s="67"/>
    </row>
    <row r="39" spans="2:6" ht="18.5" thickBot="1" x14ac:dyDescent="0.6">
      <c r="B39" s="4" t="s">
        <v>115</v>
      </c>
      <c r="C39" s="362">
        <v>0</v>
      </c>
    </row>
    <row r="40" spans="2:6" ht="18.5" thickBot="1" x14ac:dyDescent="0.6">
      <c r="B40" s="4" t="s">
        <v>47</v>
      </c>
      <c r="C40" s="367">
        <v>1</v>
      </c>
    </row>
    <row r="41" spans="2:6" x14ac:dyDescent="0.55000000000000004">
      <c r="B41" s="15" t="s">
        <v>12</v>
      </c>
      <c r="C41" s="124">
        <f>C33*C34+C36*C37+C39*C40</f>
        <v>0</v>
      </c>
      <c r="D41" s="135" t="s">
        <v>110</v>
      </c>
    </row>
    <row r="44" spans="2:6" ht="54.5" thickBot="1" x14ac:dyDescent="0.6">
      <c r="B44" s="7" t="s">
        <v>11</v>
      </c>
      <c r="C44" s="13" t="s">
        <v>27</v>
      </c>
      <c r="D44" s="13" t="s">
        <v>4</v>
      </c>
      <c r="E44" s="8" t="s">
        <v>28</v>
      </c>
    </row>
    <row r="45" spans="2:6" ht="18.5" thickBot="1" x14ac:dyDescent="0.6">
      <c r="B45" s="16" t="s">
        <v>267</v>
      </c>
      <c r="C45" s="368">
        <v>0</v>
      </c>
      <c r="D45" s="362">
        <v>0</v>
      </c>
      <c r="E45" s="52">
        <f>C45+D45*'1.Params_8.Sensitivity'!$D$15</f>
        <v>0</v>
      </c>
      <c r="F45" s="191"/>
    </row>
    <row r="46" spans="2:6" ht="18.5" thickBot="1" x14ac:dyDescent="0.6">
      <c r="B46" s="16" t="s">
        <v>14</v>
      </c>
      <c r="C46" s="368">
        <v>0</v>
      </c>
      <c r="D46" s="362">
        <v>0</v>
      </c>
      <c r="E46" s="52">
        <f>C46+D46*'1.Params_8.Sensitivity'!$D$15</f>
        <v>0</v>
      </c>
      <c r="F46" s="191"/>
    </row>
    <row r="47" spans="2:6" ht="18.5" thickBot="1" x14ac:dyDescent="0.6">
      <c r="B47" s="4" t="s">
        <v>6</v>
      </c>
      <c r="C47" s="53">
        <f>SUM(C48:C49)</f>
        <v>0</v>
      </c>
      <c r="D47" s="53">
        <f>SUM(D48:D49)</f>
        <v>0</v>
      </c>
      <c r="E47" s="52">
        <f>C47+D47*'1.Params_8.Sensitivity'!$D$15</f>
        <v>0</v>
      </c>
    </row>
    <row r="48" spans="2:6" ht="18.5" thickBot="1" x14ac:dyDescent="0.6">
      <c r="B48" s="4" t="s">
        <v>9</v>
      </c>
      <c r="C48" s="362">
        <v>0</v>
      </c>
      <c r="D48" s="362">
        <v>0</v>
      </c>
      <c r="E48" s="52">
        <f>C48+D48*'1.Params_8.Sensitivity'!$D$15</f>
        <v>0</v>
      </c>
    </row>
    <row r="49" spans="2:35" ht="18.5" thickBot="1" x14ac:dyDescent="0.6">
      <c r="B49" s="4" t="s">
        <v>10</v>
      </c>
      <c r="C49" s="362">
        <v>0</v>
      </c>
      <c r="D49" s="362">
        <v>0</v>
      </c>
      <c r="E49" s="52">
        <f>C49+D49*'1.Params_8.Sensitivity'!$D$15</f>
        <v>0</v>
      </c>
    </row>
    <row r="50" spans="2:35" ht="18.5" thickBot="1" x14ac:dyDescent="0.6">
      <c r="B50" s="4" t="s">
        <v>13</v>
      </c>
      <c r="C50" s="362">
        <v>0</v>
      </c>
      <c r="D50" s="362">
        <v>0</v>
      </c>
      <c r="E50" s="52">
        <f>C50+D50*'1.Params_8.Sensitivity'!$D$15</f>
        <v>0</v>
      </c>
    </row>
    <row r="51" spans="2:35" ht="18.5" thickBot="1" x14ac:dyDescent="0.6">
      <c r="B51" s="4" t="s">
        <v>8</v>
      </c>
      <c r="C51" s="369">
        <v>0</v>
      </c>
      <c r="D51" s="369">
        <v>0</v>
      </c>
      <c r="E51" s="52">
        <f>C51+D51*'1.Params_8.Sensitivity'!$D$15</f>
        <v>0</v>
      </c>
    </row>
    <row r="52" spans="2:35" ht="18.5" thickBot="1" x14ac:dyDescent="0.6">
      <c r="B52" s="9" t="s">
        <v>161</v>
      </c>
      <c r="C52" s="362">
        <v>496</v>
      </c>
      <c r="D52" s="362">
        <v>0</v>
      </c>
      <c r="E52" s="210">
        <f>C52+D52*'1.Params_8.Sensitivity'!$D$15</f>
        <v>496</v>
      </c>
      <c r="F52" s="191" t="s">
        <v>162</v>
      </c>
    </row>
    <row r="53" spans="2:35" x14ac:dyDescent="0.55000000000000004">
      <c r="B53" s="64" t="s">
        <v>152</v>
      </c>
      <c r="C53" s="51">
        <f>SUM(C45:C47,C50:C52)</f>
        <v>496</v>
      </c>
      <c r="D53" s="51">
        <f>SUM(D45:D47,D50:D52)</f>
        <v>0</v>
      </c>
      <c r="E53" s="124">
        <f>SUM(E45:E47,E50:E52)</f>
        <v>496</v>
      </c>
      <c r="F53" s="135" t="s">
        <v>110</v>
      </c>
    </row>
    <row r="54" spans="2:35" x14ac:dyDescent="0.55000000000000004">
      <c r="C54" s="1"/>
      <c r="D54" s="1"/>
      <c r="E54" s="1"/>
    </row>
    <row r="55" spans="2:35" x14ac:dyDescent="0.55000000000000004">
      <c r="F55" s="211" t="s">
        <v>172</v>
      </c>
      <c r="I55" s="211"/>
    </row>
    <row r="56" spans="2:35" ht="18.5" thickBot="1" x14ac:dyDescent="0.6">
      <c r="B56" s="9"/>
      <c r="C56" s="14">
        <v>1</v>
      </c>
      <c r="D56" s="12">
        <v>2</v>
      </c>
      <c r="E56" s="14">
        <v>3</v>
      </c>
      <c r="F56" s="12">
        <v>4</v>
      </c>
      <c r="G56" s="14">
        <v>5</v>
      </c>
      <c r="H56" s="12">
        <v>6</v>
      </c>
      <c r="I56" s="82">
        <v>7</v>
      </c>
      <c r="J56" s="81">
        <v>8</v>
      </c>
      <c r="K56" s="82">
        <v>9</v>
      </c>
      <c r="L56" s="81">
        <v>10</v>
      </c>
      <c r="M56" s="82">
        <v>11</v>
      </c>
      <c r="N56" s="81">
        <v>12</v>
      </c>
      <c r="O56" s="82">
        <v>13</v>
      </c>
      <c r="P56" s="81">
        <v>14</v>
      </c>
      <c r="Q56" s="82">
        <v>15</v>
      </c>
      <c r="R56" s="81">
        <v>16</v>
      </c>
      <c r="S56" s="82">
        <v>17</v>
      </c>
      <c r="T56" s="81">
        <v>18</v>
      </c>
      <c r="U56" s="82">
        <v>19</v>
      </c>
      <c r="V56" s="81">
        <v>20</v>
      </c>
      <c r="W56" s="82">
        <v>21</v>
      </c>
      <c r="X56" s="81">
        <v>22</v>
      </c>
      <c r="Y56" s="82">
        <v>23</v>
      </c>
      <c r="Z56" s="81">
        <v>24</v>
      </c>
      <c r="AA56" s="82">
        <v>25</v>
      </c>
      <c r="AB56" s="81">
        <v>26</v>
      </c>
      <c r="AC56" s="82">
        <v>27</v>
      </c>
      <c r="AD56" s="81">
        <v>28</v>
      </c>
      <c r="AE56" s="82">
        <v>29</v>
      </c>
      <c r="AF56" s="81">
        <v>30</v>
      </c>
    </row>
    <row r="57" spans="2:35" ht="18.5" thickBot="1" x14ac:dyDescent="0.6">
      <c r="B57" s="17" t="s">
        <v>259</v>
      </c>
      <c r="C57" s="367">
        <v>0</v>
      </c>
      <c r="D57" s="367">
        <v>0</v>
      </c>
      <c r="E57" s="367">
        <v>0</v>
      </c>
      <c r="F57" s="370">
        <v>0.2142</v>
      </c>
      <c r="G57" s="370">
        <v>0.25700000000000001</v>
      </c>
      <c r="H57" s="370">
        <v>0.50470000000000004</v>
      </c>
      <c r="I57" s="367">
        <v>1</v>
      </c>
      <c r="J57" s="367">
        <v>1</v>
      </c>
      <c r="K57" s="367">
        <v>1</v>
      </c>
      <c r="L57" s="367">
        <v>1</v>
      </c>
      <c r="M57" s="367">
        <v>1</v>
      </c>
      <c r="N57" s="367">
        <v>1</v>
      </c>
      <c r="O57" s="367">
        <v>1</v>
      </c>
      <c r="P57" s="367">
        <v>1</v>
      </c>
      <c r="Q57" s="367">
        <v>1</v>
      </c>
      <c r="R57" s="367">
        <v>1</v>
      </c>
      <c r="S57" s="367">
        <v>1</v>
      </c>
      <c r="T57" s="367">
        <v>1</v>
      </c>
      <c r="U57" s="367">
        <v>1</v>
      </c>
      <c r="V57" s="367">
        <v>1</v>
      </c>
      <c r="W57" s="367">
        <v>1</v>
      </c>
      <c r="X57" s="367">
        <v>1</v>
      </c>
      <c r="Y57" s="367">
        <v>1</v>
      </c>
      <c r="Z57" s="367">
        <v>1</v>
      </c>
      <c r="AA57" s="367">
        <v>1</v>
      </c>
      <c r="AB57" s="367">
        <v>1</v>
      </c>
      <c r="AC57" s="367">
        <v>1</v>
      </c>
      <c r="AD57" s="367">
        <v>1</v>
      </c>
      <c r="AE57" s="367">
        <v>1</v>
      </c>
      <c r="AF57" s="367">
        <v>1</v>
      </c>
      <c r="AG57" s="67"/>
      <c r="AH57" s="67"/>
      <c r="AI57" s="67"/>
    </row>
    <row r="58" spans="2:35" x14ac:dyDescent="0.55000000000000004">
      <c r="B58" s="64" t="s">
        <v>153</v>
      </c>
      <c r="C58" s="68">
        <f t="shared" ref="C58:E58" si="6">$E$53*C$57</f>
        <v>0</v>
      </c>
      <c r="D58" s="68">
        <f t="shared" si="6"/>
        <v>0</v>
      </c>
      <c r="E58" s="68">
        <f t="shared" si="6"/>
        <v>0</v>
      </c>
      <c r="F58" s="68">
        <f t="shared" ref="F58:AF58" si="7">$E$53*F$57</f>
        <v>106.2432</v>
      </c>
      <c r="G58" s="68">
        <f t="shared" si="7"/>
        <v>127.47200000000001</v>
      </c>
      <c r="H58" s="68">
        <f t="shared" si="7"/>
        <v>250.33120000000002</v>
      </c>
      <c r="I58" s="68">
        <f t="shared" si="7"/>
        <v>496</v>
      </c>
      <c r="J58" s="68">
        <f t="shared" si="7"/>
        <v>496</v>
      </c>
      <c r="K58" s="68">
        <f t="shared" si="7"/>
        <v>496</v>
      </c>
      <c r="L58" s="68">
        <f t="shared" si="7"/>
        <v>496</v>
      </c>
      <c r="M58" s="68">
        <f t="shared" si="7"/>
        <v>496</v>
      </c>
      <c r="N58" s="68">
        <f t="shared" si="7"/>
        <v>496</v>
      </c>
      <c r="O58" s="68">
        <f t="shared" si="7"/>
        <v>496</v>
      </c>
      <c r="P58" s="68">
        <f t="shared" si="7"/>
        <v>496</v>
      </c>
      <c r="Q58" s="68">
        <f t="shared" si="7"/>
        <v>496</v>
      </c>
      <c r="R58" s="68">
        <f t="shared" si="7"/>
        <v>496</v>
      </c>
      <c r="S58" s="68">
        <f t="shared" si="7"/>
        <v>496</v>
      </c>
      <c r="T58" s="68">
        <f t="shared" si="7"/>
        <v>496</v>
      </c>
      <c r="U58" s="68">
        <f t="shared" si="7"/>
        <v>496</v>
      </c>
      <c r="V58" s="68">
        <f t="shared" si="7"/>
        <v>496</v>
      </c>
      <c r="W58" s="68">
        <f t="shared" si="7"/>
        <v>496</v>
      </c>
      <c r="X58" s="68">
        <f t="shared" si="7"/>
        <v>496</v>
      </c>
      <c r="Y58" s="68">
        <f t="shared" si="7"/>
        <v>496</v>
      </c>
      <c r="Z58" s="68">
        <f t="shared" si="7"/>
        <v>496</v>
      </c>
      <c r="AA58" s="68">
        <f t="shared" si="7"/>
        <v>496</v>
      </c>
      <c r="AB58" s="68">
        <f t="shared" si="7"/>
        <v>496</v>
      </c>
      <c r="AC58" s="68">
        <f t="shared" si="7"/>
        <v>496</v>
      </c>
      <c r="AD58" s="68">
        <f t="shared" si="7"/>
        <v>496</v>
      </c>
      <c r="AE58" s="68">
        <f t="shared" si="7"/>
        <v>496</v>
      </c>
      <c r="AF58" s="68">
        <f t="shared" si="7"/>
        <v>496</v>
      </c>
    </row>
  </sheetData>
  <sheetProtection sheet="1" objects="1" scenarios="1"/>
  <mergeCells count="6">
    <mergeCell ref="C29:H29"/>
    <mergeCell ref="I18:N23"/>
    <mergeCell ref="C2:E2"/>
    <mergeCell ref="B2:B3"/>
    <mergeCell ref="F2:F3"/>
    <mergeCell ref="G2:G3"/>
  </mergeCells>
  <phoneticPr fontId="4"/>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E0B78-9887-4D51-9A88-810CB8B753CA}">
  <sheetPr codeName="Sheet5">
    <tabColor theme="4" tint="0.59999389629810485"/>
  </sheetPr>
  <dimension ref="A1:AF27"/>
  <sheetViews>
    <sheetView zoomScale="80" zoomScaleNormal="80" workbookViewId="0">
      <pane xSplit="1" ySplit="1" topLeftCell="B2" activePane="bottomRight" state="frozen"/>
      <selection pane="topRight" activeCell="B1" sqref="B1"/>
      <selection pane="bottomLeft" activeCell="A3" sqref="A3"/>
      <selection pane="bottomRight"/>
    </sheetView>
  </sheetViews>
  <sheetFormatPr defaultRowHeight="18" x14ac:dyDescent="0.55000000000000004"/>
  <cols>
    <col min="1" max="1" width="2.58203125" customWidth="1"/>
    <col min="2" max="2" width="70.75" customWidth="1"/>
    <col min="3" max="3" width="10.25" customWidth="1"/>
    <col min="4" max="5" width="8.6640625" customWidth="1"/>
    <col min="8" max="32" width="9.75" bestFit="1" customWidth="1"/>
  </cols>
  <sheetData>
    <row r="1" spans="1:4" s="3" customFormat="1" ht="20" x14ac:dyDescent="0.6">
      <c r="A1" s="5" t="str">
        <f>"Financial Benefits ("&amp;MID('0.Contents'!A1,20,(LEN('0.Contents'!A1)-20))&amp;")"</f>
        <v>Financial Benefits (Power Transmission)</v>
      </c>
    </row>
    <row r="2" spans="1:4" x14ac:dyDescent="0.55000000000000004">
      <c r="B2" s="7" t="s">
        <v>11</v>
      </c>
      <c r="C2" s="9"/>
    </row>
    <row r="3" spans="1:4" x14ac:dyDescent="0.55000000000000004">
      <c r="B3" s="16" t="s">
        <v>76</v>
      </c>
      <c r="D3" s="283"/>
    </row>
    <row r="4" spans="1:4" x14ac:dyDescent="0.55000000000000004">
      <c r="B4" s="16" t="str">
        <f>_xlfn.CONCAT("    ", '1.Params_8.Sensitivity'!G6)</f>
        <v xml:space="preserve">    Incremental Load Flow/Total Capacity to be Increased</v>
      </c>
      <c r="C4" s="215">
        <f>'1.Params_8.Sensitivity'!I6</f>
        <v>1398.63</v>
      </c>
      <c r="D4" s="282" t="str">
        <f>_xlfn.CONCAT("  ", '1.Params_8.Sensitivity'!H6)</f>
        <v xml:space="preserve">  (MW/hour)</v>
      </c>
    </row>
    <row r="5" spans="1:4" x14ac:dyDescent="0.55000000000000004">
      <c r="B5" s="16" t="str">
        <f>_xlfn.CONCAT("    ", '1.Params_8.Sensitivity'!G7)</f>
        <v xml:space="preserve">    Load Factor</v>
      </c>
      <c r="C5" s="200">
        <f>'1.Params_8.Sensitivity'!I7</f>
        <v>0.9</v>
      </c>
      <c r="D5" s="282" t="str">
        <f>_xlfn.CONCAT("  ", '1.Params_8.Sensitivity'!H7)</f>
        <v xml:space="preserve">  (%)</v>
      </c>
    </row>
    <row r="6" spans="1:4" x14ac:dyDescent="0.55000000000000004">
      <c r="B6" s="16" t="str">
        <f>_xlfn.CONCAT("    ", '1.Params_8.Sensitivity'!G8)</f>
        <v xml:space="preserve">    Gross Annual Energy (considering the Load Factor)</v>
      </c>
      <c r="C6" s="214">
        <f>'1.Params_8.Sensitivity'!I8</f>
        <v>11026.798920000001</v>
      </c>
      <c r="D6" s="282" t="str">
        <f>_xlfn.CONCAT("  ", '1.Params_8.Sensitivity'!H8)</f>
        <v xml:space="preserve">  (mil.kWh/year)</v>
      </c>
    </row>
    <row r="7" spans="1:4" x14ac:dyDescent="0.55000000000000004">
      <c r="B7" s="16" t="str">
        <f>_xlfn.CONCAT("    ", '1.Params_8.Sensitivity'!G9)</f>
        <v xml:space="preserve">    Transmission Loss</v>
      </c>
      <c r="C7" s="217">
        <f>'1.Params_8.Sensitivity'!I9</f>
        <v>2.7699999999999999E-2</v>
      </c>
      <c r="D7" s="282" t="str">
        <f>_xlfn.CONCAT("  ", '1.Params_8.Sensitivity'!H9)</f>
        <v xml:space="preserve">  (%)</v>
      </c>
    </row>
    <row r="8" spans="1:4" x14ac:dyDescent="0.55000000000000004">
      <c r="B8" s="16" t="str">
        <f>_xlfn.CONCAT("    ", '1.Params_8.Sensitivity'!G10, " (a)")</f>
        <v xml:space="preserve">    Wheeled Energy/Additional Supply of Electricity to Meet Demand (a)</v>
      </c>
      <c r="C8" s="214">
        <f>'1.Params_8.Sensitivity'!I10</f>
        <v>10721.356589916002</v>
      </c>
      <c r="D8" s="282" t="str">
        <f>_xlfn.CONCAT("  ", '1.Params_8.Sensitivity'!H10)</f>
        <v xml:space="preserve">  (mil.kWh/year)</v>
      </c>
    </row>
    <row r="9" spans="1:4" x14ac:dyDescent="0.55000000000000004">
      <c r="B9" s="16" t="str">
        <f>_xlfn.CONCAT("    ",'1.Params_8.Sensitivity'!G13, " (b)")</f>
        <v xml:space="preserve">    Wheeling Charge (b)</v>
      </c>
      <c r="C9" s="214">
        <f>'1.Params_8.Sensitivity'!I13</f>
        <v>0.27910000000000001</v>
      </c>
      <c r="D9" s="282" t="str">
        <f>_xlfn.CONCAT("  ", '1.Params_8.Sensitivity'!H13)</f>
        <v xml:space="preserve">  (BDT/kWh)</v>
      </c>
    </row>
    <row r="10" spans="1:4" x14ac:dyDescent="0.55000000000000004">
      <c r="B10" s="218" t="str">
        <f>_xlfn.CONCAT("    ",'1.Params_8.Sensitivity'!G14, " (a)*(b)")</f>
        <v xml:space="preserve">    Revenues from Wheeling Charge (a)*(b)</v>
      </c>
      <c r="C10" s="219">
        <f>'1.Params_8.Sensitivity'!I14</f>
        <v>29923.306242455565</v>
      </c>
      <c r="D10" s="282" t="str">
        <f>_xlfn.CONCAT("  ", '1.Params_8.Sensitivity'!H14)</f>
        <v xml:space="preserve">  (lakh)</v>
      </c>
    </row>
    <row r="11" spans="1:4" x14ac:dyDescent="0.55000000000000004">
      <c r="B11" s="16" t="s">
        <v>77</v>
      </c>
      <c r="C11" s="86"/>
      <c r="D11" s="126"/>
    </row>
    <row r="12" spans="1:4" x14ac:dyDescent="0.55000000000000004">
      <c r="B12" s="16" t="str">
        <f>B8</f>
        <v xml:space="preserve">    Wheeled Energy/Additional Supply of Electricity to Meet Demand (a)</v>
      </c>
      <c r="C12" s="86"/>
      <c r="D12" s="126"/>
    </row>
    <row r="13" spans="1:4" x14ac:dyDescent="0.55000000000000004">
      <c r="B13" s="16" t="str">
        <f>B9</f>
        <v xml:space="preserve">    Wheeling Charge (b)</v>
      </c>
      <c r="C13" s="86"/>
      <c r="D13" s="126"/>
    </row>
    <row r="14" spans="1:4" x14ac:dyDescent="0.55000000000000004">
      <c r="B14" s="218" t="str">
        <f>B10</f>
        <v xml:space="preserve">    Revenues from Wheeling Charge (a)*(b)</v>
      </c>
      <c r="C14" s="220"/>
      <c r="D14" s="126"/>
    </row>
    <row r="15" spans="1:4" x14ac:dyDescent="0.55000000000000004">
      <c r="B15" s="16" t="s">
        <v>78</v>
      </c>
      <c r="C15" s="86"/>
      <c r="D15" s="126"/>
    </row>
    <row r="16" spans="1:4" x14ac:dyDescent="0.55000000000000004">
      <c r="B16" s="16" t="str">
        <f>B8</f>
        <v xml:space="preserve">    Wheeled Energy/Additional Supply of Electricity to Meet Demand (a)</v>
      </c>
      <c r="C16" s="86"/>
      <c r="D16" s="126"/>
    </row>
    <row r="17" spans="2:32" x14ac:dyDescent="0.55000000000000004">
      <c r="B17" s="16" t="str">
        <f>B9</f>
        <v xml:space="preserve">    Wheeling Charge (b)</v>
      </c>
      <c r="C17" s="86"/>
      <c r="D17" s="126"/>
    </row>
    <row r="18" spans="2:32" x14ac:dyDescent="0.55000000000000004">
      <c r="B18" s="218" t="str">
        <f>B10</f>
        <v xml:space="preserve">    Revenues from Wheeling Charge (a)*(b)</v>
      </c>
      <c r="C18" s="220"/>
      <c r="D18" s="126"/>
    </row>
    <row r="19" spans="2:32" x14ac:dyDescent="0.55000000000000004">
      <c r="B19" s="15" t="s">
        <v>34</v>
      </c>
      <c r="C19" s="212">
        <f>C10+C14+C18</f>
        <v>29923.306242455565</v>
      </c>
      <c r="D19" s="216" t="s">
        <v>110</v>
      </c>
    </row>
    <row r="21" spans="2:32" x14ac:dyDescent="0.55000000000000004">
      <c r="B21" s="9"/>
      <c r="C21" s="65">
        <v>1</v>
      </c>
      <c r="D21" s="7">
        <v>2</v>
      </c>
      <c r="E21" s="65">
        <v>3</v>
      </c>
      <c r="F21" s="7">
        <v>4</v>
      </c>
      <c r="G21" s="65">
        <v>5</v>
      </c>
      <c r="H21" s="65">
        <v>6</v>
      </c>
    </row>
    <row r="22" spans="2:32" x14ac:dyDescent="0.55000000000000004">
      <c r="B22" s="4" t="s">
        <v>260</v>
      </c>
      <c r="C22" s="67">
        <f>'2b.FCosts'!C$57</f>
        <v>0</v>
      </c>
      <c r="D22" s="67">
        <f>'2b.FCosts'!D$57</f>
        <v>0</v>
      </c>
      <c r="E22" s="67">
        <f>'2b.FCosts'!E$57</f>
        <v>0</v>
      </c>
      <c r="F22" s="221">
        <f>'2b.FCosts'!F$57</f>
        <v>0.2142</v>
      </c>
      <c r="G22" s="221">
        <f>'2b.FCosts'!G$57</f>
        <v>0.25700000000000001</v>
      </c>
      <c r="H22" s="221">
        <f>'2b.FCosts'!H$57</f>
        <v>0.50470000000000004</v>
      </c>
    </row>
    <row r="23" spans="2:32" x14ac:dyDescent="0.55000000000000004">
      <c r="B23" s="64" t="s">
        <v>42</v>
      </c>
      <c r="C23" s="66">
        <f>$C$19*'3.FBenefits'!C$22</f>
        <v>0</v>
      </c>
      <c r="D23" s="66">
        <f>$C$19*'3.FBenefits'!D$22</f>
        <v>0</v>
      </c>
      <c r="E23" s="66">
        <f>$C$19*'3.FBenefits'!E$22</f>
        <v>0</v>
      </c>
      <c r="F23" s="66">
        <f>$C$19*'3.FBenefits'!F$22</f>
        <v>6409.5721971339817</v>
      </c>
      <c r="G23" s="66">
        <f>$C$19*'3.FBenefits'!G$22</f>
        <v>7690.2897043110806</v>
      </c>
      <c r="H23" s="66">
        <f>$C$19*'3.FBenefits'!H$22</f>
        <v>15102.292660567324</v>
      </c>
    </row>
    <row r="25" spans="2:32" x14ac:dyDescent="0.55000000000000004">
      <c r="B25" s="17"/>
      <c r="C25" s="14">
        <v>1</v>
      </c>
      <c r="D25" s="12">
        <v>2</v>
      </c>
      <c r="E25" s="14">
        <v>3</v>
      </c>
      <c r="F25" s="12">
        <v>4</v>
      </c>
      <c r="G25" s="14">
        <v>5</v>
      </c>
      <c r="H25" s="12">
        <v>6</v>
      </c>
      <c r="I25" s="82">
        <v>7</v>
      </c>
      <c r="J25" s="81">
        <v>8</v>
      </c>
      <c r="K25" s="82">
        <v>9</v>
      </c>
      <c r="L25" s="81">
        <v>10</v>
      </c>
      <c r="M25" s="82">
        <v>11</v>
      </c>
      <c r="N25" s="81">
        <v>12</v>
      </c>
      <c r="O25" s="82">
        <v>13</v>
      </c>
      <c r="P25" s="81">
        <v>14</v>
      </c>
      <c r="Q25" s="82">
        <v>15</v>
      </c>
      <c r="R25" s="81">
        <v>16</v>
      </c>
      <c r="S25" s="82">
        <v>17</v>
      </c>
      <c r="T25" s="81">
        <v>18</v>
      </c>
      <c r="U25" s="82">
        <v>19</v>
      </c>
      <c r="V25" s="81">
        <v>20</v>
      </c>
      <c r="W25" s="82">
        <v>21</v>
      </c>
      <c r="X25" s="81">
        <v>22</v>
      </c>
      <c r="Y25" s="82">
        <v>23</v>
      </c>
      <c r="Z25" s="81">
        <v>24</v>
      </c>
      <c r="AA25" s="82">
        <v>25</v>
      </c>
      <c r="AB25" s="81">
        <v>26</v>
      </c>
      <c r="AC25" s="82">
        <v>27</v>
      </c>
      <c r="AD25" s="81">
        <v>28</v>
      </c>
      <c r="AE25" s="82">
        <v>29</v>
      </c>
      <c r="AF25" s="81">
        <v>30</v>
      </c>
    </row>
    <row r="26" spans="2:32" x14ac:dyDescent="0.55000000000000004">
      <c r="B26" s="17" t="s">
        <v>261</v>
      </c>
      <c r="C26" s="72"/>
      <c r="D26" s="72"/>
      <c r="E26" s="72"/>
      <c r="F26" s="72"/>
      <c r="G26" s="72"/>
      <c r="H26" s="72"/>
      <c r="I26" s="72">
        <f>'2b.FCosts'!I$57</f>
        <v>1</v>
      </c>
      <c r="J26" s="72">
        <f>'2b.FCosts'!J$57</f>
        <v>1</v>
      </c>
      <c r="K26" s="72">
        <f>'2b.FCosts'!K$57</f>
        <v>1</v>
      </c>
      <c r="L26" s="72">
        <f>'2b.FCosts'!L$57</f>
        <v>1</v>
      </c>
      <c r="M26" s="72">
        <f>'2b.FCosts'!M$57</f>
        <v>1</v>
      </c>
      <c r="N26" s="72">
        <f>'2b.FCosts'!N$57</f>
        <v>1</v>
      </c>
      <c r="O26" s="72">
        <f>'2b.FCosts'!O$57</f>
        <v>1</v>
      </c>
      <c r="P26" s="72">
        <f>'2b.FCosts'!P$57</f>
        <v>1</v>
      </c>
      <c r="Q26" s="72">
        <f>'2b.FCosts'!Q$57</f>
        <v>1</v>
      </c>
      <c r="R26" s="72">
        <f>'2b.FCosts'!R$57</f>
        <v>1</v>
      </c>
      <c r="S26" s="72">
        <f>'2b.FCosts'!S$57</f>
        <v>1</v>
      </c>
      <c r="T26" s="72">
        <f>'2b.FCosts'!T$57</f>
        <v>1</v>
      </c>
      <c r="U26" s="72">
        <f>'2b.FCosts'!U$57</f>
        <v>1</v>
      </c>
      <c r="V26" s="72">
        <f>'2b.FCosts'!V$57</f>
        <v>1</v>
      </c>
      <c r="W26" s="72">
        <f>'2b.FCosts'!W$57</f>
        <v>1</v>
      </c>
      <c r="X26" s="72">
        <f>'2b.FCosts'!X$57</f>
        <v>1</v>
      </c>
      <c r="Y26" s="72">
        <f>'2b.FCosts'!Y$57</f>
        <v>1</v>
      </c>
      <c r="Z26" s="72">
        <f>'2b.FCosts'!Z$57</f>
        <v>1</v>
      </c>
      <c r="AA26" s="72">
        <f>'2b.FCosts'!AA$57</f>
        <v>1</v>
      </c>
      <c r="AB26" s="72">
        <f>'2b.FCosts'!AB$57</f>
        <v>1</v>
      </c>
      <c r="AC26" s="72">
        <f>'2b.FCosts'!AC$57</f>
        <v>1</v>
      </c>
      <c r="AD26" s="72">
        <f>'2b.FCosts'!AD$57</f>
        <v>1</v>
      </c>
      <c r="AE26" s="72">
        <f>'2b.FCosts'!AE$57</f>
        <v>1</v>
      </c>
      <c r="AF26" s="72">
        <f>'2b.FCosts'!AF$57</f>
        <v>1</v>
      </c>
    </row>
    <row r="27" spans="2:32" x14ac:dyDescent="0.55000000000000004">
      <c r="B27" s="64" t="s">
        <v>144</v>
      </c>
      <c r="C27" s="280" t="s">
        <v>219</v>
      </c>
      <c r="D27" s="280" t="s">
        <v>219</v>
      </c>
      <c r="E27" s="280" t="s">
        <v>219</v>
      </c>
      <c r="F27" s="280" t="s">
        <v>219</v>
      </c>
      <c r="G27" s="280" t="s">
        <v>219</v>
      </c>
      <c r="H27" s="280" t="s">
        <v>219</v>
      </c>
      <c r="I27" s="68">
        <f t="shared" ref="I27:AF27" si="0">$C$19*I$26</f>
        <v>29923.306242455565</v>
      </c>
      <c r="J27" s="68">
        <f t="shared" si="0"/>
        <v>29923.306242455565</v>
      </c>
      <c r="K27" s="68">
        <f t="shared" si="0"/>
        <v>29923.306242455565</v>
      </c>
      <c r="L27" s="68">
        <f t="shared" si="0"/>
        <v>29923.306242455565</v>
      </c>
      <c r="M27" s="68">
        <f t="shared" si="0"/>
        <v>29923.306242455565</v>
      </c>
      <c r="N27" s="68">
        <f t="shared" si="0"/>
        <v>29923.306242455565</v>
      </c>
      <c r="O27" s="68">
        <f t="shared" si="0"/>
        <v>29923.306242455565</v>
      </c>
      <c r="P27" s="68">
        <f t="shared" si="0"/>
        <v>29923.306242455565</v>
      </c>
      <c r="Q27" s="68">
        <f t="shared" si="0"/>
        <v>29923.306242455565</v>
      </c>
      <c r="R27" s="68">
        <f t="shared" si="0"/>
        <v>29923.306242455565</v>
      </c>
      <c r="S27" s="68">
        <f t="shared" si="0"/>
        <v>29923.306242455565</v>
      </c>
      <c r="T27" s="68">
        <f t="shared" si="0"/>
        <v>29923.306242455565</v>
      </c>
      <c r="U27" s="68">
        <f t="shared" si="0"/>
        <v>29923.306242455565</v>
      </c>
      <c r="V27" s="68">
        <f t="shared" si="0"/>
        <v>29923.306242455565</v>
      </c>
      <c r="W27" s="68">
        <f t="shared" si="0"/>
        <v>29923.306242455565</v>
      </c>
      <c r="X27" s="68">
        <f t="shared" si="0"/>
        <v>29923.306242455565</v>
      </c>
      <c r="Y27" s="68">
        <f t="shared" si="0"/>
        <v>29923.306242455565</v>
      </c>
      <c r="Z27" s="68">
        <f t="shared" si="0"/>
        <v>29923.306242455565</v>
      </c>
      <c r="AA27" s="68">
        <f t="shared" si="0"/>
        <v>29923.306242455565</v>
      </c>
      <c r="AB27" s="68">
        <f t="shared" si="0"/>
        <v>29923.306242455565</v>
      </c>
      <c r="AC27" s="68">
        <f t="shared" si="0"/>
        <v>29923.306242455565</v>
      </c>
      <c r="AD27" s="68">
        <f t="shared" si="0"/>
        <v>29923.306242455565</v>
      </c>
      <c r="AE27" s="68">
        <f t="shared" si="0"/>
        <v>29923.306242455565</v>
      </c>
      <c r="AF27" s="68">
        <f t="shared" si="0"/>
        <v>29923.306242455565</v>
      </c>
    </row>
  </sheetData>
  <sheetProtection sheet="1" objects="1" scenarios="1"/>
  <phoneticPr fontId="4"/>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AFBF7-0FCA-4A0B-B1D1-039C48F07C8B}">
  <sheetPr codeName="Sheet6">
    <tabColor theme="4" tint="0.59999389629810485"/>
  </sheetPr>
  <dimension ref="A1:AH33"/>
  <sheetViews>
    <sheetView zoomScale="70" zoomScaleNormal="70" workbookViewId="0">
      <pane xSplit="1" ySplit="1" topLeftCell="B2" activePane="bottomRight" state="frozen"/>
      <selection pane="topRight" activeCell="B1" sqref="B1"/>
      <selection pane="bottomLeft" activeCell="A3" sqref="A3"/>
      <selection pane="bottomRight"/>
    </sheetView>
  </sheetViews>
  <sheetFormatPr defaultRowHeight="18" x14ac:dyDescent="0.55000000000000004"/>
  <cols>
    <col min="1" max="1" width="2.58203125" customWidth="1"/>
    <col min="2" max="2" width="46.58203125" customWidth="1"/>
    <col min="3" max="3" width="11.58203125" customWidth="1"/>
    <col min="4" max="4" width="8.58203125" customWidth="1"/>
    <col min="5" max="5" width="9.6640625" bestFit="1" customWidth="1"/>
    <col min="6" max="8" width="8.58203125" customWidth="1"/>
    <col min="9" max="33" width="10.4140625" bestFit="1" customWidth="1"/>
    <col min="34" max="34" width="8.58203125" customWidth="1"/>
  </cols>
  <sheetData>
    <row r="1" spans="1:34" s="3" customFormat="1" ht="20" x14ac:dyDescent="0.6">
      <c r="A1" s="5" t="str">
        <f>"Cash Flows of Financial Costs and Benefits ("&amp;MID('0.Contents'!A1,20,(LEN('0.Contents'!A1)-20))&amp;")----Horizontal format"</f>
        <v>Cash Flows of Financial Costs and Benefits (Power Transmission)----Horizontal format</v>
      </c>
    </row>
    <row r="2" spans="1:34" ht="20" x14ac:dyDescent="0.6">
      <c r="A2" s="6"/>
      <c r="B2" s="412" t="s">
        <v>147</v>
      </c>
      <c r="C2" s="414" t="s">
        <v>24</v>
      </c>
      <c r="D2" s="417" t="s">
        <v>0</v>
      </c>
      <c r="E2" s="417"/>
      <c r="F2" s="417"/>
      <c r="G2" s="417"/>
      <c r="H2" s="417"/>
      <c r="I2" s="417"/>
      <c r="J2" s="417"/>
      <c r="K2" s="417"/>
      <c r="L2" s="417"/>
      <c r="M2" s="417"/>
      <c r="N2" s="417"/>
      <c r="O2" s="417"/>
      <c r="P2" s="417"/>
      <c r="Q2" s="417"/>
      <c r="R2" s="417"/>
      <c r="S2" s="417"/>
      <c r="T2" s="417"/>
      <c r="U2" s="417"/>
      <c r="V2" s="417"/>
      <c r="W2" s="417"/>
      <c r="X2" s="417"/>
      <c r="Y2" s="417"/>
      <c r="Z2" s="417"/>
      <c r="AA2" s="417"/>
      <c r="AB2" s="417"/>
      <c r="AC2" s="417"/>
      <c r="AD2" s="417"/>
      <c r="AE2" s="417"/>
      <c r="AF2" s="417"/>
      <c r="AG2" s="417"/>
      <c r="AH2" s="412" t="s">
        <v>30</v>
      </c>
    </row>
    <row r="3" spans="1:34" ht="20" x14ac:dyDescent="0.6">
      <c r="A3" s="6"/>
      <c r="B3" s="413"/>
      <c r="C3" s="416"/>
      <c r="D3" s="11">
        <v>1</v>
      </c>
      <c r="E3" s="11">
        <v>2</v>
      </c>
      <c r="F3" s="11">
        <v>3</v>
      </c>
      <c r="G3" s="11">
        <v>4</v>
      </c>
      <c r="H3" s="11">
        <v>5</v>
      </c>
      <c r="I3" s="11">
        <v>6</v>
      </c>
      <c r="J3" s="83">
        <v>7</v>
      </c>
      <c r="K3" s="83">
        <v>8</v>
      </c>
      <c r="L3" s="83">
        <v>9</v>
      </c>
      <c r="M3" s="83">
        <v>10</v>
      </c>
      <c r="N3" s="83">
        <v>11</v>
      </c>
      <c r="O3" s="83">
        <v>12</v>
      </c>
      <c r="P3" s="83">
        <v>13</v>
      </c>
      <c r="Q3" s="83">
        <v>14</v>
      </c>
      <c r="R3" s="83">
        <v>15</v>
      </c>
      <c r="S3" s="83">
        <v>16</v>
      </c>
      <c r="T3" s="83">
        <v>17</v>
      </c>
      <c r="U3" s="83">
        <v>18</v>
      </c>
      <c r="V3" s="83">
        <v>19</v>
      </c>
      <c r="W3" s="83">
        <v>20</v>
      </c>
      <c r="X3" s="83">
        <v>21</v>
      </c>
      <c r="Y3" s="83">
        <v>22</v>
      </c>
      <c r="Z3" s="83">
        <v>23</v>
      </c>
      <c r="AA3" s="83">
        <v>24</v>
      </c>
      <c r="AB3" s="83">
        <v>25</v>
      </c>
      <c r="AC3" s="83">
        <v>26</v>
      </c>
      <c r="AD3" s="83">
        <v>27</v>
      </c>
      <c r="AE3" s="83">
        <v>28</v>
      </c>
      <c r="AF3" s="83">
        <v>29</v>
      </c>
      <c r="AG3" s="83">
        <v>30</v>
      </c>
      <c r="AH3" s="413"/>
    </row>
    <row r="4" spans="1:34" x14ac:dyDescent="0.55000000000000004">
      <c r="B4" s="19" t="s">
        <v>1</v>
      </c>
      <c r="C4" s="40">
        <f>SUM(D4:AG4)+C7</f>
        <v>203820.70800000001</v>
      </c>
      <c r="D4" s="41">
        <f>SUM(D5:D6)*'1.Params_8.Sensitivity'!$D$28</f>
        <v>16516.00908775843</v>
      </c>
      <c r="E4" s="41">
        <f>SUM(E5:E6)*'1.Params_8.Sensitivity'!$D$28</f>
        <v>29766.162553554561</v>
      </c>
      <c r="F4" s="41">
        <f>SUM(F5:F6)*'1.Params_8.Sensitivity'!$D$28</f>
        <v>49271.246847487302</v>
      </c>
      <c r="G4" s="41">
        <f>SUM(G5:G6)*'1.Params_8.Sensitivity'!$D$28</f>
        <v>41295.134024072242</v>
      </c>
      <c r="H4" s="41">
        <f>SUM(H5:H6)*'1.Params_8.Sensitivity'!$D$28</f>
        <v>34930.843960737024</v>
      </c>
      <c r="I4" s="41">
        <f>SUM(I5:I6)*'1.Params_8.Sensitivity'!$D$28</f>
        <v>20137.311526390458</v>
      </c>
      <c r="J4" s="41">
        <f>SUM(J5:J6)*'1.Params_8.Sensitivity'!$D$28</f>
        <v>496</v>
      </c>
      <c r="K4" s="41">
        <f>SUM(K5:K6)*'1.Params_8.Sensitivity'!$D$28</f>
        <v>496</v>
      </c>
      <c r="L4" s="41">
        <f>SUM(L5:L6)*'1.Params_8.Sensitivity'!$D$28</f>
        <v>496</v>
      </c>
      <c r="M4" s="41">
        <f>SUM(M5:M6)*'1.Params_8.Sensitivity'!$D$28</f>
        <v>496</v>
      </c>
      <c r="N4" s="41">
        <f>SUM(N5:N6)*'1.Params_8.Sensitivity'!$D$28</f>
        <v>496</v>
      </c>
      <c r="O4" s="41">
        <f>SUM(O5:O6)*'1.Params_8.Sensitivity'!$D$28</f>
        <v>496</v>
      </c>
      <c r="P4" s="41">
        <f>SUM(P5:P6)*'1.Params_8.Sensitivity'!$D$28</f>
        <v>496</v>
      </c>
      <c r="Q4" s="41">
        <f>SUM(Q5:Q6)*'1.Params_8.Sensitivity'!$D$28</f>
        <v>496</v>
      </c>
      <c r="R4" s="41">
        <f>SUM(R5:R6)*'1.Params_8.Sensitivity'!$D$28</f>
        <v>496</v>
      </c>
      <c r="S4" s="41">
        <f>SUM(S5:S6)*'1.Params_8.Sensitivity'!$D$28</f>
        <v>496</v>
      </c>
      <c r="T4" s="41">
        <f>SUM(T5:T6)*'1.Params_8.Sensitivity'!$D$28</f>
        <v>496</v>
      </c>
      <c r="U4" s="41">
        <f>SUM(U5:U6)*'1.Params_8.Sensitivity'!$D$28</f>
        <v>496</v>
      </c>
      <c r="V4" s="41">
        <f>SUM(V5:V6)*'1.Params_8.Sensitivity'!$D$28</f>
        <v>496</v>
      </c>
      <c r="W4" s="41">
        <f>SUM(W5:W6)*'1.Params_8.Sensitivity'!$D$28</f>
        <v>496</v>
      </c>
      <c r="X4" s="41">
        <f>SUM(X5:X6)*'1.Params_8.Sensitivity'!$D$28</f>
        <v>496</v>
      </c>
      <c r="Y4" s="41">
        <f>SUM(Y5:Y6)*'1.Params_8.Sensitivity'!$D$28</f>
        <v>496</v>
      </c>
      <c r="Z4" s="41">
        <f>SUM(Z5:Z6)*'1.Params_8.Sensitivity'!$D$28</f>
        <v>496</v>
      </c>
      <c r="AA4" s="41">
        <f>SUM(AA5:AA6)*'1.Params_8.Sensitivity'!$D$28</f>
        <v>496</v>
      </c>
      <c r="AB4" s="41">
        <f>SUM(AB5:AB6)*'1.Params_8.Sensitivity'!$D$28</f>
        <v>496</v>
      </c>
      <c r="AC4" s="41">
        <f>SUM(AC5:AC6)*'1.Params_8.Sensitivity'!$D$28</f>
        <v>496</v>
      </c>
      <c r="AD4" s="41">
        <f>SUM(AD5:AD6)*'1.Params_8.Sensitivity'!$D$28</f>
        <v>496</v>
      </c>
      <c r="AE4" s="41">
        <f>SUM(AE5:AE6)*'1.Params_8.Sensitivity'!$D$28</f>
        <v>496</v>
      </c>
      <c r="AF4" s="41">
        <f>SUM(AF5:AF6)*'1.Params_8.Sensitivity'!$D$28</f>
        <v>496</v>
      </c>
      <c r="AG4" s="41">
        <f>SUM(AG5:AG6)*'1.Params_8.Sensitivity'!$D$28</f>
        <v>496</v>
      </c>
      <c r="AH4" s="41"/>
    </row>
    <row r="5" spans="1:34" x14ac:dyDescent="0.55000000000000004">
      <c r="B5" s="20" t="s">
        <v>158</v>
      </c>
      <c r="C5" s="39">
        <f t="shared" ref="C5:C6" si="0">SUM(D5:AG5)</f>
        <v>191432.66159999999</v>
      </c>
      <c r="D5" s="201">
        <f>'2b.FCosts'!C28</f>
        <v>16516.00908775843</v>
      </c>
      <c r="E5" s="201">
        <f>'2b.FCosts'!D28</f>
        <v>29766.162553554561</v>
      </c>
      <c r="F5" s="201">
        <f>'2b.FCosts'!E28</f>
        <v>49271.246847487302</v>
      </c>
      <c r="G5" s="201">
        <f>'2b.FCosts'!F28</f>
        <v>41188.890824072245</v>
      </c>
      <c r="H5" s="201">
        <f>'2b.FCosts'!G28</f>
        <v>34803.371960737022</v>
      </c>
      <c r="I5" s="201">
        <f>'2b.FCosts'!H28</f>
        <v>19886.980326390458</v>
      </c>
      <c r="J5" s="73" t="s">
        <v>31</v>
      </c>
      <c r="K5" s="73" t="s">
        <v>31</v>
      </c>
      <c r="L5" s="73" t="s">
        <v>31</v>
      </c>
      <c r="M5" s="73" t="s">
        <v>31</v>
      </c>
      <c r="N5" s="73" t="s">
        <v>31</v>
      </c>
      <c r="O5" s="73" t="s">
        <v>31</v>
      </c>
      <c r="P5" s="73" t="s">
        <v>31</v>
      </c>
      <c r="Q5" s="73" t="s">
        <v>31</v>
      </c>
      <c r="R5" s="73" t="s">
        <v>31</v>
      </c>
      <c r="S5" s="73" t="s">
        <v>31</v>
      </c>
      <c r="T5" s="73" t="s">
        <v>31</v>
      </c>
      <c r="U5" s="73" t="s">
        <v>31</v>
      </c>
      <c r="V5" s="73" t="s">
        <v>31</v>
      </c>
      <c r="W5" s="73" t="s">
        <v>31</v>
      </c>
      <c r="X5" s="73" t="s">
        <v>31</v>
      </c>
      <c r="Y5" s="73" t="s">
        <v>31</v>
      </c>
      <c r="Z5" s="73" t="s">
        <v>31</v>
      </c>
      <c r="AA5" s="73" t="s">
        <v>31</v>
      </c>
      <c r="AB5" s="73" t="s">
        <v>31</v>
      </c>
      <c r="AC5" s="73" t="s">
        <v>31</v>
      </c>
      <c r="AD5" s="73" t="s">
        <v>31</v>
      </c>
      <c r="AE5" s="73" t="s">
        <v>31</v>
      </c>
      <c r="AF5" s="73" t="s">
        <v>31</v>
      </c>
      <c r="AG5" s="73" t="s">
        <v>31</v>
      </c>
      <c r="AH5" s="39"/>
    </row>
    <row r="6" spans="1:34" x14ac:dyDescent="0.55000000000000004">
      <c r="B6" s="20" t="s">
        <v>159</v>
      </c>
      <c r="C6" s="39">
        <f t="shared" si="0"/>
        <v>12388.046399999999</v>
      </c>
      <c r="D6" s="39">
        <f>'2b.FCosts'!C58</f>
        <v>0</v>
      </c>
      <c r="E6" s="39">
        <f>'2b.FCosts'!D58</f>
        <v>0</v>
      </c>
      <c r="F6" s="39">
        <f>'2b.FCosts'!E58</f>
        <v>0</v>
      </c>
      <c r="G6" s="39">
        <f>'2b.FCosts'!F58</f>
        <v>106.2432</v>
      </c>
      <c r="H6" s="39">
        <f>'2b.FCosts'!G58</f>
        <v>127.47200000000001</v>
      </c>
      <c r="I6" s="39">
        <f>'2b.FCosts'!H58</f>
        <v>250.33120000000002</v>
      </c>
      <c r="J6" s="202">
        <f>'2b.FCosts'!I58</f>
        <v>496</v>
      </c>
      <c r="K6" s="202">
        <f>'2b.FCosts'!J58</f>
        <v>496</v>
      </c>
      <c r="L6" s="202">
        <f>'2b.FCosts'!K58</f>
        <v>496</v>
      </c>
      <c r="M6" s="202">
        <f>'2b.FCosts'!L58</f>
        <v>496</v>
      </c>
      <c r="N6" s="202">
        <f>'2b.FCosts'!M58</f>
        <v>496</v>
      </c>
      <c r="O6" s="202">
        <f>'2b.FCosts'!N58</f>
        <v>496</v>
      </c>
      <c r="P6" s="202">
        <f>'2b.FCosts'!O58</f>
        <v>496</v>
      </c>
      <c r="Q6" s="202">
        <f>'2b.FCosts'!P58</f>
        <v>496</v>
      </c>
      <c r="R6" s="202">
        <f>'2b.FCosts'!Q58</f>
        <v>496</v>
      </c>
      <c r="S6" s="202">
        <f>'2b.FCosts'!R58</f>
        <v>496</v>
      </c>
      <c r="T6" s="202">
        <f>'2b.FCosts'!S58</f>
        <v>496</v>
      </c>
      <c r="U6" s="202">
        <f>'2b.FCosts'!T58</f>
        <v>496</v>
      </c>
      <c r="V6" s="202">
        <f>'2b.FCosts'!U58</f>
        <v>496</v>
      </c>
      <c r="W6" s="202">
        <f>'2b.FCosts'!V58</f>
        <v>496</v>
      </c>
      <c r="X6" s="202">
        <f>'2b.FCosts'!W58</f>
        <v>496</v>
      </c>
      <c r="Y6" s="202">
        <f>'2b.FCosts'!X58</f>
        <v>496</v>
      </c>
      <c r="Z6" s="202">
        <f>'2b.FCosts'!Y58</f>
        <v>496</v>
      </c>
      <c r="AA6" s="202">
        <f>'2b.FCosts'!Z58</f>
        <v>496</v>
      </c>
      <c r="AB6" s="202">
        <f>'2b.FCosts'!AA58</f>
        <v>496</v>
      </c>
      <c r="AC6" s="202">
        <f>'2b.FCosts'!AB58</f>
        <v>496</v>
      </c>
      <c r="AD6" s="202">
        <f>'2b.FCosts'!AC58</f>
        <v>496</v>
      </c>
      <c r="AE6" s="202">
        <f>'2b.FCosts'!AD58</f>
        <v>496</v>
      </c>
      <c r="AF6" s="202">
        <f>'2b.FCosts'!AE58</f>
        <v>496</v>
      </c>
      <c r="AG6" s="202">
        <f>'2b.FCosts'!AF58</f>
        <v>496</v>
      </c>
      <c r="AH6" s="39"/>
    </row>
    <row r="7" spans="1:34" x14ac:dyDescent="0.55000000000000004">
      <c r="B7" s="20" t="s">
        <v>160</v>
      </c>
      <c r="C7" s="39">
        <f>AH7</f>
        <v>0</v>
      </c>
      <c r="D7" s="281" t="s">
        <v>31</v>
      </c>
      <c r="E7" s="281" t="s">
        <v>31</v>
      </c>
      <c r="F7" s="281" t="s">
        <v>31</v>
      </c>
      <c r="G7" s="281" t="s">
        <v>31</v>
      </c>
      <c r="H7" s="281" t="s">
        <v>31</v>
      </c>
      <c r="I7" s="281" t="s">
        <v>31</v>
      </c>
      <c r="J7" s="73" t="s">
        <v>31</v>
      </c>
      <c r="K7" s="73" t="s">
        <v>31</v>
      </c>
      <c r="L7" s="73" t="s">
        <v>31</v>
      </c>
      <c r="M7" s="73" t="s">
        <v>31</v>
      </c>
      <c r="N7" s="73" t="s">
        <v>31</v>
      </c>
      <c r="O7" s="73" t="s">
        <v>31</v>
      </c>
      <c r="P7" s="73" t="s">
        <v>31</v>
      </c>
      <c r="Q7" s="73" t="s">
        <v>31</v>
      </c>
      <c r="R7" s="73" t="s">
        <v>31</v>
      </c>
      <c r="S7" s="73" t="s">
        <v>31</v>
      </c>
      <c r="T7" s="73" t="s">
        <v>31</v>
      </c>
      <c r="U7" s="73" t="s">
        <v>31</v>
      </c>
      <c r="V7" s="73" t="s">
        <v>31</v>
      </c>
      <c r="W7" s="73" t="s">
        <v>31</v>
      </c>
      <c r="X7" s="73" t="s">
        <v>31</v>
      </c>
      <c r="Y7" s="73" t="s">
        <v>31</v>
      </c>
      <c r="Z7" s="73" t="s">
        <v>31</v>
      </c>
      <c r="AA7" s="73" t="s">
        <v>31</v>
      </c>
      <c r="AB7" s="73" t="s">
        <v>31</v>
      </c>
      <c r="AC7" s="73" t="s">
        <v>31</v>
      </c>
      <c r="AD7" s="73" t="s">
        <v>31</v>
      </c>
      <c r="AE7" s="73" t="s">
        <v>31</v>
      </c>
      <c r="AF7" s="73" t="s">
        <v>31</v>
      </c>
      <c r="AG7" s="73" t="s">
        <v>31</v>
      </c>
      <c r="AH7" s="39">
        <f>-1*'2b.FCosts'!C41</f>
        <v>0</v>
      </c>
    </row>
    <row r="8" spans="1:34" x14ac:dyDescent="0.55000000000000004">
      <c r="B8" s="21" t="s">
        <v>2</v>
      </c>
      <c r="C8" s="42">
        <f>SUM(D8:AG8)</f>
        <v>747361.50438094616</v>
      </c>
      <c r="D8" s="39">
        <f>'3.FBenefits'!C23*'1.Params_8.Sensitivity'!$D$27</f>
        <v>0</v>
      </c>
      <c r="E8" s="39">
        <f>'3.FBenefits'!D23*'1.Params_8.Sensitivity'!$D$27</f>
        <v>0</v>
      </c>
      <c r="F8" s="39">
        <f>'3.FBenefits'!E23*'1.Params_8.Sensitivity'!$D$27</f>
        <v>0</v>
      </c>
      <c r="G8" s="39">
        <f>'3.FBenefits'!F23*'1.Params_8.Sensitivity'!$D$27</f>
        <v>6409.5721971339817</v>
      </c>
      <c r="H8" s="39">
        <f>'3.FBenefits'!G23*'1.Params_8.Sensitivity'!$D$27</f>
        <v>7690.2897043110806</v>
      </c>
      <c r="I8" s="39">
        <f>'3.FBenefits'!H23*'1.Params_8.Sensitivity'!$D$27</f>
        <v>15102.292660567324</v>
      </c>
      <c r="J8" s="203">
        <f>'3.FBenefits'!I27*'1.Params_8.Sensitivity'!$D$27</f>
        <v>29923.306242455565</v>
      </c>
      <c r="K8" s="203">
        <f>'3.FBenefits'!J27*'1.Params_8.Sensitivity'!$D$27</f>
        <v>29923.306242455565</v>
      </c>
      <c r="L8" s="203">
        <f>'3.FBenefits'!K27*'1.Params_8.Sensitivity'!$D$27</f>
        <v>29923.306242455565</v>
      </c>
      <c r="M8" s="203">
        <f>'3.FBenefits'!L27*'1.Params_8.Sensitivity'!$D$27</f>
        <v>29923.306242455565</v>
      </c>
      <c r="N8" s="203">
        <f>'3.FBenefits'!M27*'1.Params_8.Sensitivity'!$D$27</f>
        <v>29923.306242455565</v>
      </c>
      <c r="O8" s="203">
        <f>'3.FBenefits'!N27*'1.Params_8.Sensitivity'!$D$27</f>
        <v>29923.306242455565</v>
      </c>
      <c r="P8" s="203">
        <f>'3.FBenefits'!O27*'1.Params_8.Sensitivity'!$D$27</f>
        <v>29923.306242455565</v>
      </c>
      <c r="Q8" s="203">
        <f>'3.FBenefits'!P27*'1.Params_8.Sensitivity'!$D$27</f>
        <v>29923.306242455565</v>
      </c>
      <c r="R8" s="203">
        <f>'3.FBenefits'!Q27*'1.Params_8.Sensitivity'!$D$27</f>
        <v>29923.306242455565</v>
      </c>
      <c r="S8" s="203">
        <f>'3.FBenefits'!R27*'1.Params_8.Sensitivity'!$D$27</f>
        <v>29923.306242455565</v>
      </c>
      <c r="T8" s="203">
        <f>'3.FBenefits'!S27*'1.Params_8.Sensitivity'!$D$27</f>
        <v>29923.306242455565</v>
      </c>
      <c r="U8" s="203">
        <f>'3.FBenefits'!T27*'1.Params_8.Sensitivity'!$D$27</f>
        <v>29923.306242455565</v>
      </c>
      <c r="V8" s="203">
        <f>'3.FBenefits'!U27*'1.Params_8.Sensitivity'!$D$27</f>
        <v>29923.306242455565</v>
      </c>
      <c r="W8" s="203">
        <f>'3.FBenefits'!V27*'1.Params_8.Sensitivity'!$D$27</f>
        <v>29923.306242455565</v>
      </c>
      <c r="X8" s="203">
        <f>'3.FBenefits'!W27*'1.Params_8.Sensitivity'!$D$27</f>
        <v>29923.306242455565</v>
      </c>
      <c r="Y8" s="203">
        <f>'3.FBenefits'!X27*'1.Params_8.Sensitivity'!$D$27</f>
        <v>29923.306242455565</v>
      </c>
      <c r="Z8" s="203">
        <f>'3.FBenefits'!Y27*'1.Params_8.Sensitivity'!$D$27</f>
        <v>29923.306242455565</v>
      </c>
      <c r="AA8" s="203">
        <f>'3.FBenefits'!Z27*'1.Params_8.Sensitivity'!$D$27</f>
        <v>29923.306242455565</v>
      </c>
      <c r="AB8" s="203">
        <f>'3.FBenefits'!AA27*'1.Params_8.Sensitivity'!$D$27</f>
        <v>29923.306242455565</v>
      </c>
      <c r="AC8" s="203">
        <f>'3.FBenefits'!AB27*'1.Params_8.Sensitivity'!$D$27</f>
        <v>29923.306242455565</v>
      </c>
      <c r="AD8" s="203">
        <f>'3.FBenefits'!AC27*'1.Params_8.Sensitivity'!$D$27</f>
        <v>29923.306242455565</v>
      </c>
      <c r="AE8" s="203">
        <f>'3.FBenefits'!AD27*'1.Params_8.Sensitivity'!$D$27</f>
        <v>29923.306242455565</v>
      </c>
      <c r="AF8" s="203">
        <f>'3.FBenefits'!AE27*'1.Params_8.Sensitivity'!$D$27</f>
        <v>29923.306242455565</v>
      </c>
      <c r="AG8" s="203">
        <f>'3.FBenefits'!AF27*'1.Params_8.Sensitivity'!$D$27</f>
        <v>29923.306242455565</v>
      </c>
      <c r="AH8" s="39"/>
    </row>
    <row r="9" spans="1:34" x14ac:dyDescent="0.55000000000000004">
      <c r="B9" s="22" t="s">
        <v>3</v>
      </c>
      <c r="C9" s="43">
        <f>SUM(D9:AG9)</f>
        <v>543540.79638094583</v>
      </c>
      <c r="D9" s="44">
        <f>D8-D4</f>
        <v>-16516.00908775843</v>
      </c>
      <c r="E9" s="44">
        <f t="shared" ref="E9:AF9" si="1">E8-E4</f>
        <v>-29766.162553554561</v>
      </c>
      <c r="F9" s="44">
        <f t="shared" si="1"/>
        <v>-49271.246847487302</v>
      </c>
      <c r="G9" s="44">
        <f>G8-G4</f>
        <v>-34885.561826938261</v>
      </c>
      <c r="H9" s="44">
        <f t="shared" si="1"/>
        <v>-27240.554256425945</v>
      </c>
      <c r="I9" s="44">
        <f>I8-I4</f>
        <v>-5035.0188658231345</v>
      </c>
      <c r="J9" s="44">
        <f t="shared" si="1"/>
        <v>29427.306242455565</v>
      </c>
      <c r="K9" s="44">
        <f t="shared" si="1"/>
        <v>29427.306242455565</v>
      </c>
      <c r="L9" s="44">
        <f t="shared" si="1"/>
        <v>29427.306242455565</v>
      </c>
      <c r="M9" s="44">
        <f t="shared" si="1"/>
        <v>29427.306242455565</v>
      </c>
      <c r="N9" s="44">
        <f t="shared" si="1"/>
        <v>29427.306242455565</v>
      </c>
      <c r="O9" s="44">
        <f t="shared" si="1"/>
        <v>29427.306242455565</v>
      </c>
      <c r="P9" s="44">
        <f t="shared" si="1"/>
        <v>29427.306242455565</v>
      </c>
      <c r="Q9" s="44">
        <f t="shared" si="1"/>
        <v>29427.306242455565</v>
      </c>
      <c r="R9" s="44">
        <f t="shared" si="1"/>
        <v>29427.306242455565</v>
      </c>
      <c r="S9" s="44">
        <f t="shared" si="1"/>
        <v>29427.306242455565</v>
      </c>
      <c r="T9" s="44">
        <f t="shared" si="1"/>
        <v>29427.306242455565</v>
      </c>
      <c r="U9" s="44">
        <f t="shared" si="1"/>
        <v>29427.306242455565</v>
      </c>
      <c r="V9" s="44">
        <f t="shared" si="1"/>
        <v>29427.306242455565</v>
      </c>
      <c r="W9" s="44">
        <f t="shared" si="1"/>
        <v>29427.306242455565</v>
      </c>
      <c r="X9" s="44">
        <f t="shared" si="1"/>
        <v>29427.306242455565</v>
      </c>
      <c r="Y9" s="44">
        <f t="shared" si="1"/>
        <v>29427.306242455565</v>
      </c>
      <c r="Z9" s="44">
        <f t="shared" si="1"/>
        <v>29427.306242455565</v>
      </c>
      <c r="AA9" s="44">
        <f t="shared" si="1"/>
        <v>29427.306242455565</v>
      </c>
      <c r="AB9" s="44">
        <f t="shared" si="1"/>
        <v>29427.306242455565</v>
      </c>
      <c r="AC9" s="44">
        <f t="shared" si="1"/>
        <v>29427.306242455565</v>
      </c>
      <c r="AD9" s="44">
        <f t="shared" si="1"/>
        <v>29427.306242455565</v>
      </c>
      <c r="AE9" s="44">
        <f t="shared" si="1"/>
        <v>29427.306242455565</v>
      </c>
      <c r="AF9" s="44">
        <f t="shared" si="1"/>
        <v>29427.306242455565</v>
      </c>
      <c r="AG9" s="44">
        <f>AG8-AG4-AH7</f>
        <v>29427.306242455565</v>
      </c>
      <c r="AH9" s="44"/>
    </row>
    <row r="10" spans="1:34" x14ac:dyDescent="0.55000000000000004">
      <c r="B10" s="10"/>
      <c r="C10" s="39"/>
    </row>
    <row r="11" spans="1:34" x14ac:dyDescent="0.55000000000000004">
      <c r="B11" t="str">
        <f>"Financial Discount Rate ("&amp;TEXT('1.Params_8.Sensitivity'!D12,"0%")&amp;")"</f>
        <v>Financial Discount Rate (12%)</v>
      </c>
      <c r="C11" s="39" t="s">
        <v>142</v>
      </c>
      <c r="D11" s="2">
        <f>1/(1+'1.Params_8.Sensitivity'!$D$12)^D3</f>
        <v>0.89285714285714279</v>
      </c>
      <c r="E11" s="2">
        <f>1/(1+'1.Params_8.Sensitivity'!$D$12)^E3</f>
        <v>0.79719387755102034</v>
      </c>
      <c r="F11" s="2">
        <f>1/(1+'1.Params_8.Sensitivity'!$D$12)^F3</f>
        <v>0.71178024781341087</v>
      </c>
      <c r="G11" s="2">
        <f>1/(1+'1.Params_8.Sensitivity'!$D$12)^G3</f>
        <v>0.63551807840483121</v>
      </c>
      <c r="H11" s="2">
        <f>1/(1+'1.Params_8.Sensitivity'!$D$12)^H3</f>
        <v>0.56742685571859919</v>
      </c>
      <c r="I11" s="2">
        <f>1/(1+'1.Params_8.Sensitivity'!$D$12)^I3</f>
        <v>0.50663112117732068</v>
      </c>
      <c r="J11" s="2">
        <f>1/(1+'1.Params_8.Sensitivity'!$D$12)^J3</f>
        <v>0.45234921533689343</v>
      </c>
      <c r="K11" s="2">
        <f>1/(1+'1.Params_8.Sensitivity'!$D$12)^K3</f>
        <v>0.4038832279793691</v>
      </c>
      <c r="L11" s="2">
        <f>1/(1+'1.Params_8.Sensitivity'!$D$12)^L3</f>
        <v>0.36061002498157957</v>
      </c>
      <c r="M11" s="2">
        <f>1/(1+'1.Params_8.Sensitivity'!$D$12)^M3</f>
        <v>0.32197323659069599</v>
      </c>
      <c r="N11" s="2">
        <f>1/(1+'1.Params_8.Sensitivity'!$D$12)^N3</f>
        <v>0.28747610409883567</v>
      </c>
      <c r="O11" s="2">
        <f>1/(1+'1.Params_8.Sensitivity'!$D$12)^O3</f>
        <v>0.25667509294538904</v>
      </c>
      <c r="P11" s="2">
        <f>1/(1+'1.Params_8.Sensitivity'!$D$12)^P3</f>
        <v>0.22917419012981158</v>
      </c>
      <c r="Q11" s="2">
        <f>1/(1+'1.Params_8.Sensitivity'!$D$12)^Q3</f>
        <v>0.20461981261590317</v>
      </c>
      <c r="R11" s="2">
        <f>1/(1+'1.Params_8.Sensitivity'!$D$12)^R3</f>
        <v>0.18269626126419927</v>
      </c>
      <c r="S11" s="2">
        <f>1/(1+'1.Params_8.Sensitivity'!$D$12)^S3</f>
        <v>0.16312166184303503</v>
      </c>
      <c r="T11" s="2">
        <f>1/(1+'1.Params_8.Sensitivity'!$D$12)^T3</f>
        <v>0.14564434093128129</v>
      </c>
      <c r="U11" s="2">
        <f>1/(1+'1.Params_8.Sensitivity'!$D$12)^U3</f>
        <v>0.13003959011721541</v>
      </c>
      <c r="V11" s="2">
        <f>1/(1+'1.Params_8.Sensitivity'!$D$12)^V3</f>
        <v>0.1161067768903709</v>
      </c>
      <c r="W11" s="2">
        <f>1/(1+'1.Params_8.Sensitivity'!$D$12)^W3</f>
        <v>0.1036667650806883</v>
      </c>
      <c r="X11" s="2">
        <f>1/(1+'1.Params_8.Sensitivity'!$D$12)^X3</f>
        <v>9.2559611679185971E-2</v>
      </c>
      <c r="Y11" s="2">
        <f>1/(1+'1.Params_8.Sensitivity'!$D$12)^Y3</f>
        <v>8.2642510427844609E-2</v>
      </c>
      <c r="Z11" s="2">
        <f>1/(1+'1.Params_8.Sensitivity'!$D$12)^Z3</f>
        <v>7.3787955739146982E-2</v>
      </c>
      <c r="AA11" s="2">
        <f>1/(1+'1.Params_8.Sensitivity'!$D$12)^AA3</f>
        <v>6.5882103338524081E-2</v>
      </c>
      <c r="AB11" s="2">
        <f>1/(1+'1.Params_8.Sensitivity'!$D$12)^AB3</f>
        <v>5.8823306552253637E-2</v>
      </c>
      <c r="AC11" s="2">
        <f>1/(1+'1.Params_8.Sensitivity'!$D$12)^AC3</f>
        <v>5.2520809421655032E-2</v>
      </c>
      <c r="AD11" s="2">
        <f>1/(1+'1.Params_8.Sensitivity'!$D$12)^AD3</f>
        <v>4.6893579840763415E-2</v>
      </c>
      <c r="AE11" s="2">
        <f>1/(1+'1.Params_8.Sensitivity'!$D$12)^AE3</f>
        <v>4.1869267714967337E-2</v>
      </c>
      <c r="AF11" s="2">
        <f>1/(1+'1.Params_8.Sensitivity'!$D$12)^AF3</f>
        <v>3.7383274745506546E-2</v>
      </c>
      <c r="AG11" s="2">
        <f>1/(1+'1.Params_8.Sensitivity'!$D$12)^AG3</f>
        <v>3.3377923879916553E-2</v>
      </c>
      <c r="AH11" s="2"/>
    </row>
    <row r="13" spans="1:34" x14ac:dyDescent="0.55000000000000004">
      <c r="B13" s="412" t="s">
        <v>148</v>
      </c>
      <c r="C13" s="412" t="s">
        <v>24</v>
      </c>
      <c r="D13" s="417" t="s">
        <v>0</v>
      </c>
      <c r="E13" s="417"/>
      <c r="F13" s="417"/>
      <c r="G13" s="417"/>
      <c r="H13" s="417"/>
      <c r="I13" s="417"/>
      <c r="J13" s="417"/>
      <c r="K13" s="417"/>
      <c r="L13" s="417"/>
      <c r="M13" s="417"/>
      <c r="N13" s="417"/>
      <c r="O13" s="417"/>
      <c r="P13" s="417"/>
      <c r="Q13" s="417"/>
      <c r="R13" s="417"/>
      <c r="S13" s="417"/>
      <c r="T13" s="417"/>
      <c r="U13" s="417"/>
      <c r="V13" s="417"/>
      <c r="W13" s="417"/>
      <c r="X13" s="417"/>
      <c r="Y13" s="417"/>
      <c r="Z13" s="417"/>
      <c r="AA13" s="417"/>
      <c r="AB13" s="417"/>
      <c r="AC13" s="417"/>
      <c r="AD13" s="417"/>
      <c r="AE13" s="417"/>
      <c r="AF13" s="417"/>
      <c r="AG13" s="417"/>
      <c r="AH13" s="412" t="s">
        <v>30</v>
      </c>
    </row>
    <row r="14" spans="1:34" x14ac:dyDescent="0.55000000000000004">
      <c r="B14" s="413"/>
      <c r="C14" s="413"/>
      <c r="D14" s="11">
        <v>1</v>
      </c>
      <c r="E14" s="11">
        <v>2</v>
      </c>
      <c r="F14" s="11">
        <v>3</v>
      </c>
      <c r="G14" s="11">
        <v>4</v>
      </c>
      <c r="H14" s="11">
        <v>5</v>
      </c>
      <c r="I14" s="11">
        <v>6</v>
      </c>
      <c r="J14" s="83">
        <v>7</v>
      </c>
      <c r="K14" s="83">
        <v>8</v>
      </c>
      <c r="L14" s="83">
        <v>9</v>
      </c>
      <c r="M14" s="83">
        <v>10</v>
      </c>
      <c r="N14" s="83">
        <v>11</v>
      </c>
      <c r="O14" s="83">
        <v>12</v>
      </c>
      <c r="P14" s="83">
        <v>13</v>
      </c>
      <c r="Q14" s="83">
        <v>14</v>
      </c>
      <c r="R14" s="83">
        <v>15</v>
      </c>
      <c r="S14" s="83">
        <v>16</v>
      </c>
      <c r="T14" s="83">
        <v>17</v>
      </c>
      <c r="U14" s="83">
        <v>18</v>
      </c>
      <c r="V14" s="83">
        <v>19</v>
      </c>
      <c r="W14" s="83">
        <v>20</v>
      </c>
      <c r="X14" s="83">
        <v>21</v>
      </c>
      <c r="Y14" s="83">
        <v>22</v>
      </c>
      <c r="Z14" s="83">
        <v>23</v>
      </c>
      <c r="AA14" s="83">
        <v>24</v>
      </c>
      <c r="AB14" s="83">
        <v>25</v>
      </c>
      <c r="AC14" s="83">
        <v>26</v>
      </c>
      <c r="AD14" s="83">
        <v>27</v>
      </c>
      <c r="AE14" s="83">
        <v>28</v>
      </c>
      <c r="AF14" s="83">
        <v>29</v>
      </c>
      <c r="AG14" s="83">
        <v>30</v>
      </c>
      <c r="AH14" s="413"/>
    </row>
    <row r="15" spans="1:34" x14ac:dyDescent="0.55000000000000004">
      <c r="B15" s="19" t="s">
        <v>1</v>
      </c>
      <c r="C15" s="40">
        <f>SUM(D15:AG15)+C18</f>
        <v>131768.94463285548</v>
      </c>
      <c r="D15" s="41">
        <f>D4*D$11</f>
        <v>14746.436685498596</v>
      </c>
      <c r="E15" s="41">
        <f>E4*E$11</f>
        <v>23729.402545882142</v>
      </c>
      <c r="F15" s="41">
        <f t="shared" ref="F15:AG15" si="2">F4*F$11</f>
        <v>35070.300291180254</v>
      </c>
      <c r="G15" s="41">
        <f t="shared" si="2"/>
        <v>26243.804222448354</v>
      </c>
      <c r="H15" s="41">
        <f>H4*H$11</f>
        <v>19820.698956238029</v>
      </c>
      <c r="I15" s="41">
        <f>I4*I$11</f>
        <v>10202.188716112181</v>
      </c>
      <c r="J15" s="41">
        <f t="shared" si="2"/>
        <v>224.36521080709915</v>
      </c>
      <c r="K15" s="41">
        <f t="shared" si="2"/>
        <v>200.32608107776707</v>
      </c>
      <c r="L15" s="41">
        <f t="shared" si="2"/>
        <v>178.86257239086348</v>
      </c>
      <c r="M15" s="41">
        <f t="shared" si="2"/>
        <v>159.69872534898522</v>
      </c>
      <c r="N15" s="41">
        <f t="shared" si="2"/>
        <v>142.58814763302249</v>
      </c>
      <c r="O15" s="41">
        <f t="shared" si="2"/>
        <v>127.31084610091297</v>
      </c>
      <c r="P15" s="41">
        <f t="shared" si="2"/>
        <v>113.67039830438654</v>
      </c>
      <c r="Q15" s="41">
        <f t="shared" si="2"/>
        <v>101.49142705748797</v>
      </c>
      <c r="R15" s="41">
        <f t="shared" si="2"/>
        <v>90.617345587042834</v>
      </c>
      <c r="S15" s="41">
        <f t="shared" si="2"/>
        <v>80.908344274145378</v>
      </c>
      <c r="T15" s="41">
        <f t="shared" si="2"/>
        <v>72.239593101915517</v>
      </c>
      <c r="U15" s="41">
        <f t="shared" si="2"/>
        <v>64.499636698138843</v>
      </c>
      <c r="V15" s="41">
        <f t="shared" si="2"/>
        <v>57.588961337623964</v>
      </c>
      <c r="W15" s="41">
        <f t="shared" si="2"/>
        <v>51.418715480021397</v>
      </c>
      <c r="X15" s="41">
        <f t="shared" si="2"/>
        <v>45.909567392876241</v>
      </c>
      <c r="Y15" s="41">
        <f t="shared" si="2"/>
        <v>40.990685172210924</v>
      </c>
      <c r="Z15" s="41">
        <f t="shared" si="2"/>
        <v>36.598826046616907</v>
      </c>
      <c r="AA15" s="41">
        <f t="shared" si="2"/>
        <v>32.677523255907943</v>
      </c>
      <c r="AB15" s="41">
        <f t="shared" si="2"/>
        <v>29.176360049917804</v>
      </c>
      <c r="AC15" s="41">
        <f t="shared" si="2"/>
        <v>26.050321473140897</v>
      </c>
      <c r="AD15" s="41">
        <f t="shared" si="2"/>
        <v>23.259215601018653</v>
      </c>
      <c r="AE15" s="41">
        <f t="shared" si="2"/>
        <v>20.767156786623801</v>
      </c>
      <c r="AF15" s="41">
        <f t="shared" si="2"/>
        <v>18.542104273771248</v>
      </c>
      <c r="AG15" s="41">
        <f t="shared" si="2"/>
        <v>16.55545024443861</v>
      </c>
      <c r="AH15" s="41"/>
    </row>
    <row r="16" spans="1:34" x14ac:dyDescent="0.55000000000000004">
      <c r="B16" s="20" t="s">
        <v>158</v>
      </c>
      <c r="C16" s="39">
        <f>SUM(D16:AG16)</f>
        <v>129546.15533037815</v>
      </c>
      <c r="D16" s="39">
        <f t="shared" ref="D16:I16" si="3">D5*D$11</f>
        <v>14746.436685498596</v>
      </c>
      <c r="E16" s="39">
        <f t="shared" si="3"/>
        <v>23729.402545882142</v>
      </c>
      <c r="F16" s="39">
        <f t="shared" si="3"/>
        <v>35070.300291180254</v>
      </c>
      <c r="G16" s="39">
        <f t="shared" si="3"/>
        <v>26176.284748140777</v>
      </c>
      <c r="H16" s="39">
        <f t="shared" si="3"/>
        <v>19748.367920085868</v>
      </c>
      <c r="I16" s="39">
        <f t="shared" si="3"/>
        <v>10075.363139590516</v>
      </c>
      <c r="J16" s="73" t="s">
        <v>31</v>
      </c>
      <c r="K16" s="73" t="s">
        <v>31</v>
      </c>
      <c r="L16" s="73" t="s">
        <v>31</v>
      </c>
      <c r="M16" s="73" t="s">
        <v>31</v>
      </c>
      <c r="N16" s="73" t="s">
        <v>31</v>
      </c>
      <c r="O16" s="73" t="s">
        <v>31</v>
      </c>
      <c r="P16" s="73" t="s">
        <v>31</v>
      </c>
      <c r="Q16" s="73" t="s">
        <v>31</v>
      </c>
      <c r="R16" s="73" t="s">
        <v>31</v>
      </c>
      <c r="S16" s="73" t="s">
        <v>31</v>
      </c>
      <c r="T16" s="73" t="s">
        <v>31</v>
      </c>
      <c r="U16" s="73" t="s">
        <v>31</v>
      </c>
      <c r="V16" s="73" t="s">
        <v>31</v>
      </c>
      <c r="W16" s="73" t="s">
        <v>31</v>
      </c>
      <c r="X16" s="73" t="s">
        <v>31</v>
      </c>
      <c r="Y16" s="73" t="s">
        <v>31</v>
      </c>
      <c r="Z16" s="73" t="s">
        <v>31</v>
      </c>
      <c r="AA16" s="73" t="s">
        <v>31</v>
      </c>
      <c r="AB16" s="73" t="s">
        <v>31</v>
      </c>
      <c r="AC16" s="73" t="s">
        <v>31</v>
      </c>
      <c r="AD16" s="73" t="s">
        <v>31</v>
      </c>
      <c r="AE16" s="73" t="s">
        <v>31</v>
      </c>
      <c r="AF16" s="73" t="s">
        <v>31</v>
      </c>
      <c r="AG16" s="73" t="s">
        <v>31</v>
      </c>
      <c r="AH16" s="39"/>
    </row>
    <row r="17" spans="2:34" x14ac:dyDescent="0.55000000000000004">
      <c r="B17" s="20" t="s">
        <v>159</v>
      </c>
      <c r="C17" s="39">
        <f>SUM(D17:AG17)</f>
        <v>2222.7893024773412</v>
      </c>
      <c r="D17" s="39">
        <f t="shared" ref="D17:AG17" si="4">D6*D$11</f>
        <v>0</v>
      </c>
      <c r="E17" s="39">
        <f t="shared" si="4"/>
        <v>0</v>
      </c>
      <c r="F17" s="39">
        <f t="shared" si="4"/>
        <v>0</v>
      </c>
      <c r="G17" s="39">
        <f t="shared" si="4"/>
        <v>67.519474307580168</v>
      </c>
      <c r="H17" s="39">
        <f t="shared" si="4"/>
        <v>72.331036152161275</v>
      </c>
      <c r="I17" s="39">
        <f t="shared" si="4"/>
        <v>126.8255765216641</v>
      </c>
      <c r="J17" s="39">
        <f t="shared" si="4"/>
        <v>224.36521080709915</v>
      </c>
      <c r="K17" s="39">
        <f t="shared" si="4"/>
        <v>200.32608107776707</v>
      </c>
      <c r="L17" s="39">
        <f t="shared" si="4"/>
        <v>178.86257239086348</v>
      </c>
      <c r="M17" s="39">
        <f t="shared" si="4"/>
        <v>159.69872534898522</v>
      </c>
      <c r="N17" s="39">
        <f t="shared" si="4"/>
        <v>142.58814763302249</v>
      </c>
      <c r="O17" s="39">
        <f t="shared" si="4"/>
        <v>127.31084610091297</v>
      </c>
      <c r="P17" s="39">
        <f t="shared" si="4"/>
        <v>113.67039830438654</v>
      </c>
      <c r="Q17" s="39">
        <f t="shared" si="4"/>
        <v>101.49142705748797</v>
      </c>
      <c r="R17" s="39">
        <f t="shared" si="4"/>
        <v>90.617345587042834</v>
      </c>
      <c r="S17" s="39">
        <f t="shared" si="4"/>
        <v>80.908344274145378</v>
      </c>
      <c r="T17" s="39">
        <f t="shared" si="4"/>
        <v>72.239593101915517</v>
      </c>
      <c r="U17" s="39">
        <f t="shared" si="4"/>
        <v>64.499636698138843</v>
      </c>
      <c r="V17" s="39">
        <f t="shared" si="4"/>
        <v>57.588961337623964</v>
      </c>
      <c r="W17" s="39">
        <f t="shared" si="4"/>
        <v>51.418715480021397</v>
      </c>
      <c r="X17" s="39">
        <f t="shared" si="4"/>
        <v>45.909567392876241</v>
      </c>
      <c r="Y17" s="39">
        <f t="shared" si="4"/>
        <v>40.990685172210924</v>
      </c>
      <c r="Z17" s="39">
        <f t="shared" si="4"/>
        <v>36.598826046616907</v>
      </c>
      <c r="AA17" s="39">
        <f t="shared" si="4"/>
        <v>32.677523255907943</v>
      </c>
      <c r="AB17" s="39">
        <f t="shared" si="4"/>
        <v>29.176360049917804</v>
      </c>
      <c r="AC17" s="39">
        <f t="shared" si="4"/>
        <v>26.050321473140897</v>
      </c>
      <c r="AD17" s="39">
        <f t="shared" si="4"/>
        <v>23.259215601018653</v>
      </c>
      <c r="AE17" s="39">
        <f t="shared" si="4"/>
        <v>20.767156786623801</v>
      </c>
      <c r="AF17" s="39">
        <f t="shared" si="4"/>
        <v>18.542104273771248</v>
      </c>
      <c r="AG17" s="39">
        <f t="shared" si="4"/>
        <v>16.55545024443861</v>
      </c>
      <c r="AH17" s="39"/>
    </row>
    <row r="18" spans="2:34" x14ac:dyDescent="0.55000000000000004">
      <c r="B18" s="20" t="s">
        <v>160</v>
      </c>
      <c r="C18" s="39">
        <f>AH18</f>
        <v>0</v>
      </c>
      <c r="D18" s="73" t="s">
        <v>31</v>
      </c>
      <c r="E18" s="73" t="s">
        <v>31</v>
      </c>
      <c r="F18" s="73" t="s">
        <v>31</v>
      </c>
      <c r="G18" s="73" t="s">
        <v>31</v>
      </c>
      <c r="H18" s="73" t="s">
        <v>31</v>
      </c>
      <c r="I18" s="73" t="s">
        <v>31</v>
      </c>
      <c r="J18" s="73" t="s">
        <v>31</v>
      </c>
      <c r="K18" s="73" t="s">
        <v>31</v>
      </c>
      <c r="L18" s="73" t="s">
        <v>31</v>
      </c>
      <c r="M18" s="73" t="s">
        <v>31</v>
      </c>
      <c r="N18" s="73" t="s">
        <v>31</v>
      </c>
      <c r="O18" s="73" t="s">
        <v>31</v>
      </c>
      <c r="P18" s="73" t="s">
        <v>31</v>
      </c>
      <c r="Q18" s="73" t="s">
        <v>31</v>
      </c>
      <c r="R18" s="73" t="s">
        <v>31</v>
      </c>
      <c r="S18" s="73" t="s">
        <v>31</v>
      </c>
      <c r="T18" s="73" t="s">
        <v>31</v>
      </c>
      <c r="U18" s="73" t="s">
        <v>31</v>
      </c>
      <c r="V18" s="73" t="s">
        <v>31</v>
      </c>
      <c r="W18" s="73" t="s">
        <v>31</v>
      </c>
      <c r="X18" s="73" t="s">
        <v>31</v>
      </c>
      <c r="Y18" s="73" t="s">
        <v>31</v>
      </c>
      <c r="Z18" s="73" t="s">
        <v>31</v>
      </c>
      <c r="AA18" s="73" t="s">
        <v>31</v>
      </c>
      <c r="AB18" s="73" t="s">
        <v>31</v>
      </c>
      <c r="AC18" s="73" t="s">
        <v>31</v>
      </c>
      <c r="AD18" s="73" t="s">
        <v>31</v>
      </c>
      <c r="AE18" s="73" t="s">
        <v>31</v>
      </c>
      <c r="AF18" s="73" t="s">
        <v>31</v>
      </c>
      <c r="AG18" s="73" t="s">
        <v>31</v>
      </c>
      <c r="AH18" s="39">
        <f>AH7*AG11</f>
        <v>0</v>
      </c>
    </row>
    <row r="19" spans="2:34" x14ac:dyDescent="0.55000000000000004">
      <c r="B19" s="21" t="s">
        <v>2</v>
      </c>
      <c r="C19" s="42">
        <f>SUM(D19:AG19)</f>
        <v>134099.20365016873</v>
      </c>
      <c r="D19" s="39">
        <f>D8*D$11</f>
        <v>0</v>
      </c>
      <c r="E19" s="39">
        <f t="shared" ref="E19:AF19" si="5">E8*E$11</f>
        <v>0</v>
      </c>
      <c r="F19" s="39">
        <f t="shared" si="5"/>
        <v>0</v>
      </c>
      <c r="G19" s="39">
        <f t="shared" si="5"/>
        <v>4073.39900611962</v>
      </c>
      <c r="H19" s="39">
        <f t="shared" si="5"/>
        <v>4363.676906482352</v>
      </c>
      <c r="I19" s="39">
        <f>I8*I$11</f>
        <v>7651.2914629712441</v>
      </c>
      <c r="J19" s="39">
        <f t="shared" si="5"/>
        <v>13535.78409906034</v>
      </c>
      <c r="K19" s="39">
        <f t="shared" si="5"/>
        <v>12085.52151701816</v>
      </c>
      <c r="L19" s="39">
        <f t="shared" si="5"/>
        <v>10790.644211623357</v>
      </c>
      <c r="M19" s="39">
        <f t="shared" si="5"/>
        <v>9634.5037603779965</v>
      </c>
      <c r="N19" s="39">
        <f t="shared" si="5"/>
        <v>8602.235500337496</v>
      </c>
      <c r="O19" s="39">
        <f t="shared" si="5"/>
        <v>7680.5674110156224</v>
      </c>
      <c r="P19" s="39">
        <f t="shared" si="5"/>
        <v>6857.649474121089</v>
      </c>
      <c r="Q19" s="39">
        <f t="shared" si="5"/>
        <v>6122.9013161795438</v>
      </c>
      <c r="R19" s="39">
        <f t="shared" si="5"/>
        <v>5466.876175160307</v>
      </c>
      <c r="S19" s="39">
        <f t="shared" si="5"/>
        <v>4881.1394421074156</v>
      </c>
      <c r="T19" s="39">
        <f t="shared" si="5"/>
        <v>4358.1602161673354</v>
      </c>
      <c r="U19" s="39">
        <f t="shared" si="5"/>
        <v>3891.2144787208349</v>
      </c>
      <c r="V19" s="39">
        <f t="shared" si="5"/>
        <v>3474.298641715031</v>
      </c>
      <c r="W19" s="39">
        <f t="shared" si="5"/>
        <v>3102.0523586741347</v>
      </c>
      <c r="X19" s="39">
        <f t="shared" si="5"/>
        <v>2769.6896059590485</v>
      </c>
      <c r="Y19" s="39">
        <f t="shared" si="5"/>
        <v>2472.9371481777216</v>
      </c>
      <c r="Z19" s="39">
        <f t="shared" si="5"/>
        <v>2207.9795965872518</v>
      </c>
      <c r="AA19" s="39">
        <f t="shared" si="5"/>
        <v>1971.4103540957603</v>
      </c>
      <c r="AB19" s="39">
        <f t="shared" si="5"/>
        <v>1760.1878161569286</v>
      </c>
      <c r="AC19" s="39">
        <f t="shared" si="5"/>
        <v>1571.5962644258291</v>
      </c>
      <c r="AD19" s="39">
        <f t="shared" si="5"/>
        <v>1403.2109503802044</v>
      </c>
      <c r="AE19" s="39">
        <f t="shared" si="5"/>
        <v>1252.8669199823253</v>
      </c>
      <c r="AF19" s="39">
        <f t="shared" si="5"/>
        <v>1118.6311785556475</v>
      </c>
      <c r="AG19" s="39">
        <f>AG8*AG$11</f>
        <v>998.7778379961137</v>
      </c>
      <c r="AH19" s="39"/>
    </row>
    <row r="20" spans="2:34" x14ac:dyDescent="0.55000000000000004">
      <c r="B20" s="22" t="s">
        <v>3</v>
      </c>
      <c r="C20" s="43">
        <f>SUM(D20:AG20)</f>
        <v>2330.2590173131998</v>
      </c>
      <c r="D20" s="44">
        <f>D9*D$11</f>
        <v>-14746.436685498596</v>
      </c>
      <c r="E20" s="44">
        <f t="shared" ref="E20:AF20" si="6">E9*E$11</f>
        <v>-23729.402545882142</v>
      </c>
      <c r="F20" s="44">
        <f t="shared" si="6"/>
        <v>-35070.300291180254</v>
      </c>
      <c r="G20" s="44">
        <f t="shared" si="6"/>
        <v>-22170.405216328738</v>
      </c>
      <c r="H20" s="44">
        <f t="shared" si="6"/>
        <v>-15457.022049755678</v>
      </c>
      <c r="I20" s="44">
        <f t="shared" si="6"/>
        <v>-2550.8972531409363</v>
      </c>
      <c r="J20" s="44">
        <f t="shared" si="6"/>
        <v>13311.41888825324</v>
      </c>
      <c r="K20" s="44">
        <f t="shared" si="6"/>
        <v>11885.195435940392</v>
      </c>
      <c r="L20" s="44">
        <f t="shared" si="6"/>
        <v>10611.781639232493</v>
      </c>
      <c r="M20" s="44">
        <f t="shared" si="6"/>
        <v>9474.8050350290105</v>
      </c>
      <c r="N20" s="44">
        <f t="shared" si="6"/>
        <v>8459.6473527044727</v>
      </c>
      <c r="O20" s="44">
        <f t="shared" si="6"/>
        <v>7553.2565649147091</v>
      </c>
      <c r="P20" s="44">
        <f t="shared" si="6"/>
        <v>6743.9790758167028</v>
      </c>
      <c r="Q20" s="44">
        <f t="shared" si="6"/>
        <v>6021.4098891220556</v>
      </c>
      <c r="R20" s="44">
        <f t="shared" si="6"/>
        <v>5376.2588295732639</v>
      </c>
      <c r="S20" s="44">
        <f t="shared" si="6"/>
        <v>4800.2310978332707</v>
      </c>
      <c r="T20" s="44">
        <f t="shared" si="6"/>
        <v>4285.9206230654199</v>
      </c>
      <c r="U20" s="44">
        <f t="shared" si="6"/>
        <v>3826.7148420226963</v>
      </c>
      <c r="V20" s="44">
        <f t="shared" si="6"/>
        <v>3416.709680377407</v>
      </c>
      <c r="W20" s="44">
        <f t="shared" si="6"/>
        <v>3050.6336431941131</v>
      </c>
      <c r="X20" s="44">
        <f t="shared" si="6"/>
        <v>2723.7800385661722</v>
      </c>
      <c r="Y20" s="44">
        <f t="shared" si="6"/>
        <v>2431.9464630055109</v>
      </c>
      <c r="Z20" s="44">
        <f t="shared" si="6"/>
        <v>2171.3807705406348</v>
      </c>
      <c r="AA20" s="44">
        <f t="shared" si="6"/>
        <v>1938.7328308398523</v>
      </c>
      <c r="AB20" s="44">
        <f t="shared" si="6"/>
        <v>1731.0114561070109</v>
      </c>
      <c r="AC20" s="44">
        <f t="shared" si="6"/>
        <v>1545.5459429526882</v>
      </c>
      <c r="AD20" s="44">
        <f t="shared" si="6"/>
        <v>1379.9517347791857</v>
      </c>
      <c r="AE20" s="44">
        <f t="shared" si="6"/>
        <v>1232.0997631957016</v>
      </c>
      <c r="AF20" s="44">
        <f t="shared" si="6"/>
        <v>1100.0890742818763</v>
      </c>
      <c r="AG20" s="44">
        <f>AG9*AG$11</f>
        <v>982.222387751675</v>
      </c>
      <c r="AH20" s="44"/>
    </row>
    <row r="22" spans="2:34" ht="20" x14ac:dyDescent="0.6">
      <c r="B22" s="106" t="s">
        <v>19</v>
      </c>
      <c r="C22" s="107">
        <f>NPV('1.Params_8.Sensitivity'!D12,'4a.FAnalysis'!D9:AG9)</f>
        <v>2330.2590173131957</v>
      </c>
      <c r="D22" s="135" t="s">
        <v>110</v>
      </c>
      <c r="E22" s="39">
        <f>C19-C15</f>
        <v>2330.2590173132485</v>
      </c>
    </row>
    <row r="23" spans="2:34" ht="20" x14ac:dyDescent="0.6">
      <c r="B23" s="106" t="s">
        <v>20</v>
      </c>
      <c r="C23" s="109">
        <f>NPV('1.Params_8.Sensitivity'!D12,'4a.FAnalysis'!D8:AG8)/NPV('1.Params_8.Sensitivity'!D12,'4a.FAnalysis'!D4:AF4, (AG4+AH7))</f>
        <v>1.0176844325786014</v>
      </c>
      <c r="E23" s="188">
        <f>C19/C15</f>
        <v>1.0176844325786019</v>
      </c>
      <c r="G23" s="187"/>
    </row>
    <row r="24" spans="2:34" ht="20" x14ac:dyDescent="0.6">
      <c r="B24" s="106" t="s">
        <v>18</v>
      </c>
      <c r="C24" s="108">
        <f>IFERROR(IRR(D9:AG9), "        n/a")</f>
        <v>0.12215674012108235</v>
      </c>
    </row>
    <row r="26" spans="2:34" x14ac:dyDescent="0.55000000000000004">
      <c r="D26" s="418"/>
      <c r="E26" s="418"/>
      <c r="F26" s="418"/>
      <c r="G26" s="418"/>
      <c r="H26" s="418"/>
      <c r="I26" s="418"/>
    </row>
    <row r="27" spans="2:34" x14ac:dyDescent="0.55000000000000004">
      <c r="B27" s="136"/>
      <c r="C27" s="136"/>
      <c r="D27" s="136"/>
      <c r="E27" s="136"/>
      <c r="F27" s="136"/>
      <c r="G27" s="136"/>
      <c r="H27" s="136"/>
      <c r="I27" s="136"/>
    </row>
    <row r="28" spans="2:34" x14ac:dyDescent="0.55000000000000004">
      <c r="C28" s="137"/>
      <c r="D28" s="39"/>
      <c r="E28" s="125"/>
      <c r="F28" s="78"/>
      <c r="G28" s="39"/>
      <c r="H28" s="125"/>
      <c r="I28" s="78"/>
      <c r="J28" s="137"/>
    </row>
    <row r="29" spans="2:34" x14ac:dyDescent="0.55000000000000004">
      <c r="C29" s="137"/>
    </row>
    <row r="30" spans="2:34" x14ac:dyDescent="0.55000000000000004">
      <c r="C30" s="137"/>
    </row>
    <row r="31" spans="2:34" x14ac:dyDescent="0.55000000000000004">
      <c r="C31" s="137"/>
    </row>
    <row r="32" spans="2:34" x14ac:dyDescent="0.55000000000000004">
      <c r="C32" s="137"/>
    </row>
    <row r="33" spans="3:3" x14ac:dyDescent="0.55000000000000004">
      <c r="C33" s="137"/>
    </row>
  </sheetData>
  <sheetProtection sheet="1" objects="1" scenarios="1"/>
  <mergeCells count="10">
    <mergeCell ref="D26:F26"/>
    <mergeCell ref="G26:I26"/>
    <mergeCell ref="AH2:AH3"/>
    <mergeCell ref="AH13:AH14"/>
    <mergeCell ref="D2:AG2"/>
    <mergeCell ref="C2:C3"/>
    <mergeCell ref="B2:B3"/>
    <mergeCell ref="B13:B14"/>
    <mergeCell ref="C13:C14"/>
    <mergeCell ref="D13:AG13"/>
  </mergeCells>
  <phoneticPr fontId="4"/>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69E24-D163-410C-99D9-0E5AA064E2A3}">
  <sheetPr codeName="Sheet7">
    <tabColor theme="4" tint="0.59999389629810485"/>
  </sheetPr>
  <dimension ref="A1:T39"/>
  <sheetViews>
    <sheetView zoomScale="70" zoomScaleNormal="70" workbookViewId="0">
      <pane xSplit="1" ySplit="1" topLeftCell="B2" activePane="bottomRight" state="frozen"/>
      <selection pane="topRight" activeCell="B1" sqref="B1"/>
      <selection pane="bottomLeft" activeCell="A2" sqref="A2"/>
      <selection pane="bottomRight" activeCell="Q21" sqref="Q21"/>
    </sheetView>
  </sheetViews>
  <sheetFormatPr defaultRowHeight="18" x14ac:dyDescent="0.55000000000000004"/>
  <cols>
    <col min="1" max="1" width="2.58203125" customWidth="1"/>
    <col min="2" max="2" width="6.58203125" customWidth="1"/>
    <col min="3" max="3" width="4.58203125" customWidth="1"/>
    <col min="4" max="9" width="12.6640625" customWidth="1"/>
    <col min="10" max="10" width="1.4140625" customWidth="1"/>
    <col min="11" max="11" width="12.6640625" customWidth="1"/>
    <col min="12" max="12" width="1.4140625" customWidth="1"/>
    <col min="13" max="13" width="6.4140625" customWidth="1"/>
    <col min="14" max="14" width="4.4140625" customWidth="1"/>
    <col min="15" max="20" width="12.6640625" customWidth="1"/>
  </cols>
  <sheetData>
    <row r="1" spans="1:20" s="5" customFormat="1" ht="20" x14ac:dyDescent="0.6">
      <c r="A1" s="5" t="str">
        <f>"Cash Flows of Financial Costs and Benefits ("&amp;MID('0.Contents'!A1,20,(LEN('0.Contents'!A1)-20))&amp;")----Vertical format"</f>
        <v>Cash Flows of Financial Costs and Benefits (Power Transmission)----Vertical format</v>
      </c>
    </row>
    <row r="2" spans="1:20" x14ac:dyDescent="0.55000000000000004">
      <c r="B2" s="417" t="s">
        <v>272</v>
      </c>
      <c r="C2" s="417"/>
      <c r="D2" s="417"/>
      <c r="E2" s="417"/>
      <c r="F2" s="417"/>
      <c r="G2" s="417"/>
      <c r="H2" s="417"/>
      <c r="I2" s="417"/>
      <c r="J2" s="250"/>
      <c r="K2" s="250"/>
      <c r="L2" s="250"/>
      <c r="M2" s="417" t="s">
        <v>273</v>
      </c>
      <c r="N2" s="417"/>
      <c r="O2" s="417"/>
      <c r="P2" s="417"/>
      <c r="Q2" s="417"/>
      <c r="R2" s="417"/>
      <c r="S2" s="417"/>
      <c r="T2" s="417"/>
    </row>
    <row r="3" spans="1:20" s="254" customFormat="1" ht="90" x14ac:dyDescent="0.55000000000000004">
      <c r="B3" s="255"/>
      <c r="C3" s="255"/>
      <c r="D3" s="256" t="s">
        <v>1</v>
      </c>
      <c r="E3" s="257" t="s">
        <v>158</v>
      </c>
      <c r="F3" s="257" t="s">
        <v>159</v>
      </c>
      <c r="G3" s="257" t="s">
        <v>160</v>
      </c>
      <c r="H3" s="256" t="s">
        <v>2</v>
      </c>
      <c r="I3" s="256" t="s">
        <v>3</v>
      </c>
      <c r="J3" s="258"/>
      <c r="K3" s="259" t="str">
        <f>'4a.FAnalysis'!B11</f>
        <v>Financial Discount Rate (12%)</v>
      </c>
      <c r="L3" s="258"/>
      <c r="M3" s="8"/>
      <c r="N3" s="8"/>
      <c r="O3" s="256" t="s">
        <v>1</v>
      </c>
      <c r="P3" s="257" t="s">
        <v>158</v>
      </c>
      <c r="Q3" s="257" t="s">
        <v>159</v>
      </c>
      <c r="R3" s="257" t="s">
        <v>160</v>
      </c>
      <c r="S3" s="256" t="s">
        <v>2</v>
      </c>
      <c r="T3" s="256" t="s">
        <v>3</v>
      </c>
    </row>
    <row r="4" spans="1:20" x14ac:dyDescent="0.55000000000000004">
      <c r="B4" s="419" t="s">
        <v>24</v>
      </c>
      <c r="C4" s="419"/>
      <c r="D4" s="265">
        <f>'4a.FAnalysis'!C$4</f>
        <v>203820.70800000001</v>
      </c>
      <c r="E4" s="266">
        <f>'4a.FAnalysis'!C$5</f>
        <v>191432.66159999999</v>
      </c>
      <c r="F4" s="266">
        <f>'4a.FAnalysis'!C$6</f>
        <v>12388.046399999999</v>
      </c>
      <c r="G4" s="266">
        <f>'4a.FAnalysis'!C$7</f>
        <v>0</v>
      </c>
      <c r="H4" s="265">
        <f>'4a.FAnalysis'!C$8</f>
        <v>747361.50438094616</v>
      </c>
      <c r="I4" s="265">
        <f>'4a.FAnalysis'!C$9</f>
        <v>543540.79638094583</v>
      </c>
      <c r="J4" s="265"/>
      <c r="K4" s="267" t="str">
        <f>'4a.FAnalysis'!C$11</f>
        <v>DF</v>
      </c>
      <c r="L4" s="265"/>
      <c r="M4" s="419" t="s">
        <v>24</v>
      </c>
      <c r="N4" s="419"/>
      <c r="O4" s="265">
        <f>'4a.FAnalysis'!C$15</f>
        <v>131768.94463285548</v>
      </c>
      <c r="P4" s="266">
        <f>'4a.FAnalysis'!C$16</f>
        <v>129546.15533037815</v>
      </c>
      <c r="Q4" s="266">
        <f>'4a.FAnalysis'!C$17</f>
        <v>2222.7893024773412</v>
      </c>
      <c r="R4" s="266">
        <f>'4a.FAnalysis'!C$18</f>
        <v>0</v>
      </c>
      <c r="S4" s="265">
        <f>'4a.FAnalysis'!C$19</f>
        <v>134099.20365016873</v>
      </c>
      <c r="T4" s="265">
        <f>'4a.FAnalysis'!C$20</f>
        <v>2330.2590173131998</v>
      </c>
    </row>
    <row r="5" spans="1:20" x14ac:dyDescent="0.55000000000000004">
      <c r="B5" s="420" t="s">
        <v>0</v>
      </c>
      <c r="C5" s="260">
        <v>1</v>
      </c>
      <c r="D5" s="261">
        <f>'4a.FAnalysis'!D$4</f>
        <v>16516.00908775843</v>
      </c>
      <c r="E5" s="263">
        <f>'4a.FAnalysis'!D$5</f>
        <v>16516.00908775843</v>
      </c>
      <c r="F5" s="261">
        <f>'4a.FAnalysis'!D$6</f>
        <v>0</v>
      </c>
      <c r="G5" s="329" t="s">
        <v>31</v>
      </c>
      <c r="H5" s="261">
        <f>'4a.FAnalysis'!D$8</f>
        <v>0</v>
      </c>
      <c r="I5" s="261">
        <f>'4a.FAnalysis'!D$9</f>
        <v>-16516.00908775843</v>
      </c>
      <c r="J5" s="261"/>
      <c r="K5" s="264">
        <f>'4a.FAnalysis'!D$11</f>
        <v>0.89285714285714279</v>
      </c>
      <c r="L5" s="261"/>
      <c r="M5" s="420" t="s">
        <v>0</v>
      </c>
      <c r="N5" s="260">
        <v>1</v>
      </c>
      <c r="O5" s="261">
        <f>'4a.FAnalysis'!D$15</f>
        <v>14746.436685498596</v>
      </c>
      <c r="P5" s="261">
        <f>'4a.FAnalysis'!D$16</f>
        <v>14746.436685498596</v>
      </c>
      <c r="Q5" s="261">
        <f>'4a.FAnalysis'!D$17</f>
        <v>0</v>
      </c>
      <c r="R5" s="329" t="s">
        <v>31</v>
      </c>
      <c r="S5" s="261">
        <f>'4a.FAnalysis'!D$19</f>
        <v>0</v>
      </c>
      <c r="T5" s="261">
        <f>'4a.FAnalysis'!D$20</f>
        <v>-14746.436685498596</v>
      </c>
    </row>
    <row r="6" spans="1:20" x14ac:dyDescent="0.55000000000000004">
      <c r="B6" s="420"/>
      <c r="C6" s="260">
        <v>2</v>
      </c>
      <c r="D6" s="261">
        <f>'4a.FAnalysis'!E$4</f>
        <v>29766.162553554561</v>
      </c>
      <c r="E6" s="263">
        <f>'4a.FAnalysis'!E$5</f>
        <v>29766.162553554561</v>
      </c>
      <c r="F6" s="261">
        <f>'4a.FAnalysis'!E$6</f>
        <v>0</v>
      </c>
      <c r="G6" s="329" t="s">
        <v>31</v>
      </c>
      <c r="H6" s="261">
        <f>'4a.FAnalysis'!E$8</f>
        <v>0</v>
      </c>
      <c r="I6" s="261">
        <f>'4a.FAnalysis'!E$9</f>
        <v>-29766.162553554561</v>
      </c>
      <c r="J6" s="261"/>
      <c r="K6" s="264">
        <f>'4a.FAnalysis'!E$11</f>
        <v>0.79719387755102034</v>
      </c>
      <c r="L6" s="261"/>
      <c r="M6" s="420"/>
      <c r="N6" s="260">
        <v>2</v>
      </c>
      <c r="O6" s="261">
        <f>'4a.FAnalysis'!E$15</f>
        <v>23729.402545882142</v>
      </c>
      <c r="P6" s="261">
        <f>'4a.FAnalysis'!E$16</f>
        <v>23729.402545882142</v>
      </c>
      <c r="Q6" s="261">
        <f>'4a.FAnalysis'!E$17</f>
        <v>0</v>
      </c>
      <c r="R6" s="329" t="s">
        <v>31</v>
      </c>
      <c r="S6" s="261">
        <f>'4a.FAnalysis'!E$19</f>
        <v>0</v>
      </c>
      <c r="T6" s="261">
        <f>'4a.FAnalysis'!E$20</f>
        <v>-23729.402545882142</v>
      </c>
    </row>
    <row r="7" spans="1:20" x14ac:dyDescent="0.55000000000000004">
      <c r="B7" s="420"/>
      <c r="C7" s="260">
        <v>3</v>
      </c>
      <c r="D7" s="261">
        <f>'4a.FAnalysis'!F$4</f>
        <v>49271.246847487302</v>
      </c>
      <c r="E7" s="263">
        <f>'4a.FAnalysis'!F$5</f>
        <v>49271.246847487302</v>
      </c>
      <c r="F7" s="261">
        <f>'4a.FAnalysis'!F$6</f>
        <v>0</v>
      </c>
      <c r="G7" s="329" t="s">
        <v>31</v>
      </c>
      <c r="H7" s="261">
        <f>'4a.FAnalysis'!F$8</f>
        <v>0</v>
      </c>
      <c r="I7" s="261">
        <f>'4a.FAnalysis'!F$9</f>
        <v>-49271.246847487302</v>
      </c>
      <c r="J7" s="261"/>
      <c r="K7" s="264">
        <f>'4a.FAnalysis'!F$11</f>
        <v>0.71178024781341087</v>
      </c>
      <c r="L7" s="261"/>
      <c r="M7" s="420"/>
      <c r="N7" s="260">
        <v>3</v>
      </c>
      <c r="O7" s="261">
        <f>'4a.FAnalysis'!F$15</f>
        <v>35070.300291180254</v>
      </c>
      <c r="P7" s="261">
        <f>'4a.FAnalysis'!F$16</f>
        <v>35070.300291180254</v>
      </c>
      <c r="Q7" s="261">
        <f>'4a.FAnalysis'!F$17</f>
        <v>0</v>
      </c>
      <c r="R7" s="329" t="s">
        <v>31</v>
      </c>
      <c r="S7" s="261">
        <f>'4a.FAnalysis'!F$19</f>
        <v>0</v>
      </c>
      <c r="T7" s="261">
        <f>'4a.FAnalysis'!F$20</f>
        <v>-35070.300291180254</v>
      </c>
    </row>
    <row r="8" spans="1:20" x14ac:dyDescent="0.55000000000000004">
      <c r="B8" s="420"/>
      <c r="C8" s="260">
        <v>4</v>
      </c>
      <c r="D8" s="261">
        <f>'4a.FAnalysis'!G$4</f>
        <v>41295.134024072242</v>
      </c>
      <c r="E8" s="263">
        <f>'4a.FAnalysis'!G$5</f>
        <v>41188.890824072245</v>
      </c>
      <c r="F8" s="261">
        <f>'4a.FAnalysis'!G$6</f>
        <v>106.2432</v>
      </c>
      <c r="G8" s="329" t="s">
        <v>31</v>
      </c>
      <c r="H8" s="261">
        <f>'4a.FAnalysis'!G$8</f>
        <v>6409.5721971339817</v>
      </c>
      <c r="I8" s="261">
        <f>'4a.FAnalysis'!G$9</f>
        <v>-34885.561826938261</v>
      </c>
      <c r="J8" s="261"/>
      <c r="K8" s="264">
        <f>'4a.FAnalysis'!G$11</f>
        <v>0.63551807840483121</v>
      </c>
      <c r="L8" s="261"/>
      <c r="M8" s="420"/>
      <c r="N8" s="260">
        <v>4</v>
      </c>
      <c r="O8" s="261">
        <f>'4a.FAnalysis'!G$15</f>
        <v>26243.804222448354</v>
      </c>
      <c r="P8" s="261">
        <f>'4a.FAnalysis'!G$16</f>
        <v>26176.284748140777</v>
      </c>
      <c r="Q8" s="261">
        <f>'4a.FAnalysis'!G$17</f>
        <v>67.519474307580168</v>
      </c>
      <c r="R8" s="329" t="s">
        <v>31</v>
      </c>
      <c r="S8" s="261">
        <f>'4a.FAnalysis'!G$19</f>
        <v>4073.39900611962</v>
      </c>
      <c r="T8" s="261">
        <f>'4a.FAnalysis'!G$20</f>
        <v>-22170.405216328738</v>
      </c>
    </row>
    <row r="9" spans="1:20" x14ac:dyDescent="0.55000000000000004">
      <c r="B9" s="420"/>
      <c r="C9" s="260">
        <v>5</v>
      </c>
      <c r="D9" s="261">
        <f>'4a.FAnalysis'!H$4</f>
        <v>34930.843960737024</v>
      </c>
      <c r="E9" s="263">
        <f>'4a.FAnalysis'!H$5</f>
        <v>34803.371960737022</v>
      </c>
      <c r="F9" s="261">
        <f>'4a.FAnalysis'!H$6</f>
        <v>127.47200000000001</v>
      </c>
      <c r="G9" s="329" t="s">
        <v>31</v>
      </c>
      <c r="H9" s="261">
        <f>'4a.FAnalysis'!H$8</f>
        <v>7690.2897043110806</v>
      </c>
      <c r="I9" s="261">
        <f>'4a.FAnalysis'!H$9</f>
        <v>-27240.554256425945</v>
      </c>
      <c r="J9" s="261"/>
      <c r="K9" s="264">
        <f>'4a.FAnalysis'!H$11</f>
        <v>0.56742685571859919</v>
      </c>
      <c r="L9" s="261"/>
      <c r="M9" s="420"/>
      <c r="N9" s="260">
        <v>5</v>
      </c>
      <c r="O9" s="261">
        <f>'4a.FAnalysis'!H$15</f>
        <v>19820.698956238029</v>
      </c>
      <c r="P9" s="261">
        <f>'4a.FAnalysis'!H$16</f>
        <v>19748.367920085868</v>
      </c>
      <c r="Q9" s="261">
        <f>'4a.FAnalysis'!H$17</f>
        <v>72.331036152161275</v>
      </c>
      <c r="R9" s="329" t="s">
        <v>31</v>
      </c>
      <c r="S9" s="261">
        <f>'4a.FAnalysis'!H$19</f>
        <v>4363.676906482352</v>
      </c>
      <c r="T9" s="261">
        <f>'4a.FAnalysis'!H$20</f>
        <v>-15457.022049755678</v>
      </c>
    </row>
    <row r="10" spans="1:20" x14ac:dyDescent="0.55000000000000004">
      <c r="B10" s="420"/>
      <c r="C10" s="260">
        <v>6</v>
      </c>
      <c r="D10" s="261">
        <f>'4a.FAnalysis'!I$4</f>
        <v>20137.311526390458</v>
      </c>
      <c r="E10" s="263">
        <f>'4a.FAnalysis'!I$5</f>
        <v>19886.980326390458</v>
      </c>
      <c r="F10" s="261">
        <f>'4a.FAnalysis'!I$6</f>
        <v>250.33120000000002</v>
      </c>
      <c r="G10" s="329" t="s">
        <v>31</v>
      </c>
      <c r="H10" s="261">
        <f>'4a.FAnalysis'!I$8</f>
        <v>15102.292660567324</v>
      </c>
      <c r="I10" s="261">
        <f>'4a.FAnalysis'!I$9</f>
        <v>-5035.0188658231345</v>
      </c>
      <c r="J10" s="261"/>
      <c r="K10" s="264">
        <f>'4a.FAnalysis'!I$11</f>
        <v>0.50663112117732068</v>
      </c>
      <c r="L10" s="261"/>
      <c r="M10" s="420"/>
      <c r="N10" s="260">
        <v>6</v>
      </c>
      <c r="O10" s="261">
        <f>'4a.FAnalysis'!I$15</f>
        <v>10202.188716112181</v>
      </c>
      <c r="P10" s="261">
        <f>'4a.FAnalysis'!I$16</f>
        <v>10075.363139590516</v>
      </c>
      <c r="Q10" s="261">
        <f>'4a.FAnalysis'!I$17</f>
        <v>126.8255765216641</v>
      </c>
      <c r="R10" s="329" t="s">
        <v>31</v>
      </c>
      <c r="S10" s="261">
        <f>'4a.FAnalysis'!I$19</f>
        <v>7651.2914629712441</v>
      </c>
      <c r="T10" s="261">
        <f>'4a.FAnalysis'!I$20</f>
        <v>-2550.8972531409363</v>
      </c>
    </row>
    <row r="11" spans="1:20" x14ac:dyDescent="0.55000000000000004">
      <c r="B11" s="420"/>
      <c r="C11" s="260">
        <v>7</v>
      </c>
      <c r="D11" s="261">
        <f>'4a.FAnalysis'!J$4</f>
        <v>496</v>
      </c>
      <c r="E11" s="330" t="str">
        <f>'4a.FAnalysis'!J$5</f>
        <v>--</v>
      </c>
      <c r="F11" s="268">
        <f>'4a.FAnalysis'!J$6</f>
        <v>496</v>
      </c>
      <c r="G11" s="329" t="s">
        <v>31</v>
      </c>
      <c r="H11" s="269">
        <f>'4a.FAnalysis'!J$8</f>
        <v>29923.306242455565</v>
      </c>
      <c r="I11" s="261">
        <f>'4a.FAnalysis'!J$9</f>
        <v>29427.306242455565</v>
      </c>
      <c r="J11" s="261"/>
      <c r="K11" s="264">
        <f>'4a.FAnalysis'!J$11</f>
        <v>0.45234921533689343</v>
      </c>
      <c r="L11" s="261"/>
      <c r="M11" s="420"/>
      <c r="N11" s="260">
        <v>7</v>
      </c>
      <c r="O11" s="261">
        <f>'4a.FAnalysis'!J$15</f>
        <v>224.36521080709915</v>
      </c>
      <c r="P11" s="330" t="str">
        <f>'4a.FAnalysis'!J$16</f>
        <v>--</v>
      </c>
      <c r="Q11" s="261">
        <f>'4a.FAnalysis'!J$17</f>
        <v>224.36521080709915</v>
      </c>
      <c r="R11" s="329" t="s">
        <v>31</v>
      </c>
      <c r="S11" s="261">
        <f>'4a.FAnalysis'!J$19</f>
        <v>13535.78409906034</v>
      </c>
      <c r="T11" s="261">
        <f>'4a.FAnalysis'!J$20</f>
        <v>13311.41888825324</v>
      </c>
    </row>
    <row r="12" spans="1:20" x14ac:dyDescent="0.55000000000000004">
      <c r="B12" s="420"/>
      <c r="C12" s="260">
        <v>8</v>
      </c>
      <c r="D12" s="261">
        <f>'4a.FAnalysis'!K$4</f>
        <v>496</v>
      </c>
      <c r="E12" s="330" t="str">
        <f>'4a.FAnalysis'!K$5</f>
        <v>--</v>
      </c>
      <c r="F12" s="268">
        <f>'4a.FAnalysis'!K$6</f>
        <v>496</v>
      </c>
      <c r="G12" s="329" t="s">
        <v>31</v>
      </c>
      <c r="H12" s="269">
        <f>'4a.FAnalysis'!K$8</f>
        <v>29923.306242455565</v>
      </c>
      <c r="I12" s="261">
        <f>'4a.FAnalysis'!K$9</f>
        <v>29427.306242455565</v>
      </c>
      <c r="J12" s="261"/>
      <c r="K12" s="264">
        <f>'4a.FAnalysis'!K$11</f>
        <v>0.4038832279793691</v>
      </c>
      <c r="L12" s="261"/>
      <c r="M12" s="420"/>
      <c r="N12" s="260">
        <v>8</v>
      </c>
      <c r="O12" s="261">
        <f>'4a.FAnalysis'!K$15</f>
        <v>200.32608107776707</v>
      </c>
      <c r="P12" s="330" t="str">
        <f>'4a.FAnalysis'!K$16</f>
        <v>--</v>
      </c>
      <c r="Q12" s="261">
        <f>'4a.FAnalysis'!K$17</f>
        <v>200.32608107776707</v>
      </c>
      <c r="R12" s="329" t="s">
        <v>31</v>
      </c>
      <c r="S12" s="261">
        <f>'4a.FAnalysis'!K$19</f>
        <v>12085.52151701816</v>
      </c>
      <c r="T12" s="261">
        <f>'4a.FAnalysis'!K$20</f>
        <v>11885.195435940392</v>
      </c>
    </row>
    <row r="13" spans="1:20" x14ac:dyDescent="0.55000000000000004">
      <c r="B13" s="420"/>
      <c r="C13" s="260">
        <v>9</v>
      </c>
      <c r="D13" s="261">
        <f>'4a.FAnalysis'!L$4</f>
        <v>496</v>
      </c>
      <c r="E13" s="330" t="str">
        <f>'4a.FAnalysis'!L$5</f>
        <v>--</v>
      </c>
      <c r="F13" s="268">
        <f>'4a.FAnalysis'!L$6</f>
        <v>496</v>
      </c>
      <c r="G13" s="329" t="s">
        <v>31</v>
      </c>
      <c r="H13" s="269">
        <f>'4a.FAnalysis'!L$8</f>
        <v>29923.306242455565</v>
      </c>
      <c r="I13" s="261">
        <f>'4a.FAnalysis'!L$9</f>
        <v>29427.306242455565</v>
      </c>
      <c r="J13" s="261"/>
      <c r="K13" s="264">
        <f>'4a.FAnalysis'!L$11</f>
        <v>0.36061002498157957</v>
      </c>
      <c r="L13" s="261"/>
      <c r="M13" s="420"/>
      <c r="N13" s="260">
        <v>9</v>
      </c>
      <c r="O13" s="261">
        <f>'4a.FAnalysis'!L$15</f>
        <v>178.86257239086348</v>
      </c>
      <c r="P13" s="330" t="str">
        <f>'4a.FAnalysis'!L$16</f>
        <v>--</v>
      </c>
      <c r="Q13" s="261">
        <f>'4a.FAnalysis'!L$17</f>
        <v>178.86257239086348</v>
      </c>
      <c r="R13" s="329" t="s">
        <v>31</v>
      </c>
      <c r="S13" s="261">
        <f>'4a.FAnalysis'!L$19</f>
        <v>10790.644211623357</v>
      </c>
      <c r="T13" s="261">
        <f>'4a.FAnalysis'!L$20</f>
        <v>10611.781639232493</v>
      </c>
    </row>
    <row r="14" spans="1:20" x14ac:dyDescent="0.55000000000000004">
      <c r="B14" s="420"/>
      <c r="C14" s="260">
        <v>10</v>
      </c>
      <c r="D14" s="261">
        <f>'4a.FAnalysis'!M$4</f>
        <v>496</v>
      </c>
      <c r="E14" s="330" t="str">
        <f>'4a.FAnalysis'!M$5</f>
        <v>--</v>
      </c>
      <c r="F14" s="268">
        <f>'4a.FAnalysis'!M$6</f>
        <v>496</v>
      </c>
      <c r="G14" s="329" t="s">
        <v>31</v>
      </c>
      <c r="H14" s="269">
        <f>'4a.FAnalysis'!M$8</f>
        <v>29923.306242455565</v>
      </c>
      <c r="I14" s="261">
        <f>'4a.FAnalysis'!M$9</f>
        <v>29427.306242455565</v>
      </c>
      <c r="J14" s="261"/>
      <c r="K14" s="264">
        <f>'4a.FAnalysis'!M$11</f>
        <v>0.32197323659069599</v>
      </c>
      <c r="L14" s="261"/>
      <c r="M14" s="420"/>
      <c r="N14" s="260">
        <v>10</v>
      </c>
      <c r="O14" s="261">
        <f>'4a.FAnalysis'!M$15</f>
        <v>159.69872534898522</v>
      </c>
      <c r="P14" s="330" t="str">
        <f>'4a.FAnalysis'!M$16</f>
        <v>--</v>
      </c>
      <c r="Q14" s="261">
        <f>'4a.FAnalysis'!M$17</f>
        <v>159.69872534898522</v>
      </c>
      <c r="R14" s="329" t="s">
        <v>31</v>
      </c>
      <c r="S14" s="261">
        <f>'4a.FAnalysis'!M$19</f>
        <v>9634.5037603779965</v>
      </c>
      <c r="T14" s="261">
        <f>'4a.FAnalysis'!M$20</f>
        <v>9474.8050350290105</v>
      </c>
    </row>
    <row r="15" spans="1:20" x14ac:dyDescent="0.55000000000000004">
      <c r="B15" s="420"/>
      <c r="C15" s="260">
        <v>11</v>
      </c>
      <c r="D15" s="261">
        <f>'4a.FAnalysis'!N$4</f>
        <v>496</v>
      </c>
      <c r="E15" s="330" t="str">
        <f>'4a.FAnalysis'!N$5</f>
        <v>--</v>
      </c>
      <c r="F15" s="268">
        <f>'4a.FAnalysis'!N$6</f>
        <v>496</v>
      </c>
      <c r="G15" s="329" t="s">
        <v>31</v>
      </c>
      <c r="H15" s="269">
        <f>'4a.FAnalysis'!N$8</f>
        <v>29923.306242455565</v>
      </c>
      <c r="I15" s="261">
        <f>'4a.FAnalysis'!N$9</f>
        <v>29427.306242455565</v>
      </c>
      <c r="J15" s="261"/>
      <c r="K15" s="264">
        <f>'4a.FAnalysis'!N$11</f>
        <v>0.28747610409883567</v>
      </c>
      <c r="L15" s="261"/>
      <c r="M15" s="420"/>
      <c r="N15" s="260">
        <v>11</v>
      </c>
      <c r="O15" s="261">
        <f>'4a.FAnalysis'!N$15</f>
        <v>142.58814763302249</v>
      </c>
      <c r="P15" s="330" t="str">
        <f>'4a.FAnalysis'!N$16</f>
        <v>--</v>
      </c>
      <c r="Q15" s="261">
        <f>'4a.FAnalysis'!N$17</f>
        <v>142.58814763302249</v>
      </c>
      <c r="R15" s="329" t="s">
        <v>31</v>
      </c>
      <c r="S15" s="261">
        <f>'4a.FAnalysis'!N$19</f>
        <v>8602.235500337496</v>
      </c>
      <c r="T15" s="261">
        <f>'4a.FAnalysis'!N$20</f>
        <v>8459.6473527044727</v>
      </c>
    </row>
    <row r="16" spans="1:20" x14ac:dyDescent="0.55000000000000004">
      <c r="B16" s="420"/>
      <c r="C16" s="260">
        <v>12</v>
      </c>
      <c r="D16" s="261">
        <f>'4a.FAnalysis'!O$4</f>
        <v>496</v>
      </c>
      <c r="E16" s="330" t="str">
        <f>'4a.FAnalysis'!O$5</f>
        <v>--</v>
      </c>
      <c r="F16" s="268">
        <f>'4a.FAnalysis'!O$6</f>
        <v>496</v>
      </c>
      <c r="G16" s="329" t="s">
        <v>31</v>
      </c>
      <c r="H16" s="269">
        <f>'4a.FAnalysis'!O$8</f>
        <v>29923.306242455565</v>
      </c>
      <c r="I16" s="261">
        <f>'4a.FAnalysis'!O$9</f>
        <v>29427.306242455565</v>
      </c>
      <c r="J16" s="261"/>
      <c r="K16" s="264">
        <f>'4a.FAnalysis'!O$11</f>
        <v>0.25667509294538904</v>
      </c>
      <c r="L16" s="261"/>
      <c r="M16" s="420"/>
      <c r="N16" s="260">
        <v>12</v>
      </c>
      <c r="O16" s="261">
        <f>'4a.FAnalysis'!O$15</f>
        <v>127.31084610091297</v>
      </c>
      <c r="P16" s="330" t="str">
        <f>'4a.FAnalysis'!O$16</f>
        <v>--</v>
      </c>
      <c r="Q16" s="261">
        <f>'4a.FAnalysis'!O$17</f>
        <v>127.31084610091297</v>
      </c>
      <c r="R16" s="329" t="s">
        <v>31</v>
      </c>
      <c r="S16" s="261">
        <f>'4a.FAnalysis'!O$19</f>
        <v>7680.5674110156224</v>
      </c>
      <c r="T16" s="261">
        <f>'4a.FAnalysis'!O$20</f>
        <v>7553.2565649147091</v>
      </c>
    </row>
    <row r="17" spans="2:20" x14ac:dyDescent="0.55000000000000004">
      <c r="B17" s="420"/>
      <c r="C17" s="260">
        <v>13</v>
      </c>
      <c r="D17" s="261">
        <f>'4a.FAnalysis'!P$4</f>
        <v>496</v>
      </c>
      <c r="E17" s="330" t="str">
        <f>'4a.FAnalysis'!P$5</f>
        <v>--</v>
      </c>
      <c r="F17" s="268">
        <f>'4a.FAnalysis'!P$6</f>
        <v>496</v>
      </c>
      <c r="G17" s="329" t="s">
        <v>31</v>
      </c>
      <c r="H17" s="269">
        <f>'4a.FAnalysis'!P$8</f>
        <v>29923.306242455565</v>
      </c>
      <c r="I17" s="261">
        <f>'4a.FAnalysis'!P$9</f>
        <v>29427.306242455565</v>
      </c>
      <c r="J17" s="261"/>
      <c r="K17" s="264">
        <f>'4a.FAnalysis'!P$11</f>
        <v>0.22917419012981158</v>
      </c>
      <c r="L17" s="261"/>
      <c r="M17" s="420"/>
      <c r="N17" s="260">
        <v>13</v>
      </c>
      <c r="O17" s="261">
        <f>'4a.FAnalysis'!P$15</f>
        <v>113.67039830438654</v>
      </c>
      <c r="P17" s="330" t="str">
        <f>'4a.FAnalysis'!P$16</f>
        <v>--</v>
      </c>
      <c r="Q17" s="261">
        <f>'4a.FAnalysis'!P$17</f>
        <v>113.67039830438654</v>
      </c>
      <c r="R17" s="329" t="s">
        <v>31</v>
      </c>
      <c r="S17" s="261">
        <f>'4a.FAnalysis'!P$19</f>
        <v>6857.649474121089</v>
      </c>
      <c r="T17" s="261">
        <f>'4a.FAnalysis'!P$20</f>
        <v>6743.9790758167028</v>
      </c>
    </row>
    <row r="18" spans="2:20" x14ac:dyDescent="0.55000000000000004">
      <c r="B18" s="420"/>
      <c r="C18" s="260">
        <v>14</v>
      </c>
      <c r="D18" s="261">
        <f>'4a.FAnalysis'!Q$4</f>
        <v>496</v>
      </c>
      <c r="E18" s="330" t="str">
        <f>'4a.FAnalysis'!Q$5</f>
        <v>--</v>
      </c>
      <c r="F18" s="268">
        <f>'4a.FAnalysis'!Q$6</f>
        <v>496</v>
      </c>
      <c r="G18" s="329" t="s">
        <v>31</v>
      </c>
      <c r="H18" s="269">
        <f>'4a.FAnalysis'!Q$8</f>
        <v>29923.306242455565</v>
      </c>
      <c r="I18" s="261">
        <f>'4a.FAnalysis'!Q$9</f>
        <v>29427.306242455565</v>
      </c>
      <c r="J18" s="261"/>
      <c r="K18" s="264">
        <f>'4a.FAnalysis'!Q$11</f>
        <v>0.20461981261590317</v>
      </c>
      <c r="L18" s="261"/>
      <c r="M18" s="420"/>
      <c r="N18" s="260">
        <v>14</v>
      </c>
      <c r="O18" s="261">
        <f>'4a.FAnalysis'!Q$15</f>
        <v>101.49142705748797</v>
      </c>
      <c r="P18" s="330" t="str">
        <f>'4a.FAnalysis'!Q$16</f>
        <v>--</v>
      </c>
      <c r="Q18" s="261">
        <f>'4a.FAnalysis'!Q$17</f>
        <v>101.49142705748797</v>
      </c>
      <c r="R18" s="329" t="s">
        <v>31</v>
      </c>
      <c r="S18" s="261">
        <f>'4a.FAnalysis'!Q$19</f>
        <v>6122.9013161795438</v>
      </c>
      <c r="T18" s="261">
        <f>'4a.FAnalysis'!Q$20</f>
        <v>6021.4098891220556</v>
      </c>
    </row>
    <row r="19" spans="2:20" x14ac:dyDescent="0.55000000000000004">
      <c r="B19" s="420"/>
      <c r="C19" s="260">
        <v>15</v>
      </c>
      <c r="D19" s="261">
        <f>'4a.FAnalysis'!R$4</f>
        <v>496</v>
      </c>
      <c r="E19" s="330" t="str">
        <f>'4a.FAnalysis'!R$5</f>
        <v>--</v>
      </c>
      <c r="F19" s="268">
        <f>'4a.FAnalysis'!R$6</f>
        <v>496</v>
      </c>
      <c r="G19" s="329" t="s">
        <v>31</v>
      </c>
      <c r="H19" s="269">
        <f>'4a.FAnalysis'!R$8</f>
        <v>29923.306242455565</v>
      </c>
      <c r="I19" s="261">
        <f>'4a.FAnalysis'!R$9</f>
        <v>29427.306242455565</v>
      </c>
      <c r="J19" s="261"/>
      <c r="K19" s="264">
        <f>'4a.FAnalysis'!R$11</f>
        <v>0.18269626126419927</v>
      </c>
      <c r="L19" s="261"/>
      <c r="M19" s="420"/>
      <c r="N19" s="260">
        <v>15</v>
      </c>
      <c r="O19" s="261">
        <f>'4a.FAnalysis'!R$15</f>
        <v>90.617345587042834</v>
      </c>
      <c r="P19" s="330" t="str">
        <f>'4a.FAnalysis'!R$16</f>
        <v>--</v>
      </c>
      <c r="Q19" s="261">
        <f>'4a.FAnalysis'!R$17</f>
        <v>90.617345587042834</v>
      </c>
      <c r="R19" s="329" t="s">
        <v>31</v>
      </c>
      <c r="S19" s="261">
        <f>'4a.FAnalysis'!R$19</f>
        <v>5466.876175160307</v>
      </c>
      <c r="T19" s="261">
        <f>'4a.FAnalysis'!R$20</f>
        <v>5376.2588295732639</v>
      </c>
    </row>
    <row r="20" spans="2:20" x14ac:dyDescent="0.55000000000000004">
      <c r="B20" s="420"/>
      <c r="C20" s="260">
        <v>16</v>
      </c>
      <c r="D20" s="261">
        <f>'4a.FAnalysis'!S$4</f>
        <v>496</v>
      </c>
      <c r="E20" s="330" t="str">
        <f>'4a.FAnalysis'!S$5</f>
        <v>--</v>
      </c>
      <c r="F20" s="268">
        <f>'4a.FAnalysis'!S$6</f>
        <v>496</v>
      </c>
      <c r="G20" s="329" t="s">
        <v>31</v>
      </c>
      <c r="H20" s="269">
        <f>'4a.FAnalysis'!S$8</f>
        <v>29923.306242455565</v>
      </c>
      <c r="I20" s="261">
        <f>'4a.FAnalysis'!S$9</f>
        <v>29427.306242455565</v>
      </c>
      <c r="J20" s="261"/>
      <c r="K20" s="264">
        <f>'4a.FAnalysis'!S$11</f>
        <v>0.16312166184303503</v>
      </c>
      <c r="L20" s="261"/>
      <c r="M20" s="420"/>
      <c r="N20" s="260">
        <v>16</v>
      </c>
      <c r="O20" s="261">
        <f>'4a.FAnalysis'!S$15</f>
        <v>80.908344274145378</v>
      </c>
      <c r="P20" s="330" t="str">
        <f>'4a.FAnalysis'!S$16</f>
        <v>--</v>
      </c>
      <c r="Q20" s="261">
        <f>'4a.FAnalysis'!S$17</f>
        <v>80.908344274145378</v>
      </c>
      <c r="R20" s="329" t="s">
        <v>31</v>
      </c>
      <c r="S20" s="261">
        <f>'4a.FAnalysis'!S$19</f>
        <v>4881.1394421074156</v>
      </c>
      <c r="T20" s="261">
        <f>'4a.FAnalysis'!S$20</f>
        <v>4800.2310978332707</v>
      </c>
    </row>
    <row r="21" spans="2:20" x14ac:dyDescent="0.55000000000000004">
      <c r="B21" s="420"/>
      <c r="C21" s="260">
        <v>17</v>
      </c>
      <c r="D21" s="261">
        <f>'4a.FAnalysis'!T$4</f>
        <v>496</v>
      </c>
      <c r="E21" s="330" t="str">
        <f>'4a.FAnalysis'!T$5</f>
        <v>--</v>
      </c>
      <c r="F21" s="268">
        <f>'4a.FAnalysis'!T$6</f>
        <v>496</v>
      </c>
      <c r="G21" s="329" t="s">
        <v>31</v>
      </c>
      <c r="H21" s="269">
        <f>'4a.FAnalysis'!T$8</f>
        <v>29923.306242455565</v>
      </c>
      <c r="I21" s="261">
        <f>'4a.FAnalysis'!T$9</f>
        <v>29427.306242455565</v>
      </c>
      <c r="J21" s="261"/>
      <c r="K21" s="264">
        <f>'4a.FAnalysis'!T$11</f>
        <v>0.14564434093128129</v>
      </c>
      <c r="L21" s="261"/>
      <c r="M21" s="420"/>
      <c r="N21" s="260">
        <v>17</v>
      </c>
      <c r="O21" s="261">
        <f>'4a.FAnalysis'!T$15</f>
        <v>72.239593101915517</v>
      </c>
      <c r="P21" s="330" t="str">
        <f>'4a.FAnalysis'!T$16</f>
        <v>--</v>
      </c>
      <c r="Q21" s="261">
        <f>'4a.FAnalysis'!T$17</f>
        <v>72.239593101915517</v>
      </c>
      <c r="R21" s="329" t="s">
        <v>31</v>
      </c>
      <c r="S21" s="261">
        <f>'4a.FAnalysis'!T$19</f>
        <v>4358.1602161673354</v>
      </c>
      <c r="T21" s="261">
        <f>'4a.FAnalysis'!T$20</f>
        <v>4285.9206230654199</v>
      </c>
    </row>
    <row r="22" spans="2:20" x14ac:dyDescent="0.55000000000000004">
      <c r="B22" s="420"/>
      <c r="C22" s="260">
        <v>18</v>
      </c>
      <c r="D22" s="261">
        <f>'4a.FAnalysis'!U$4</f>
        <v>496</v>
      </c>
      <c r="E22" s="330" t="str">
        <f>'4a.FAnalysis'!U$5</f>
        <v>--</v>
      </c>
      <c r="F22" s="268">
        <f>'4a.FAnalysis'!U$6</f>
        <v>496</v>
      </c>
      <c r="G22" s="329" t="s">
        <v>31</v>
      </c>
      <c r="H22" s="269">
        <f>'4a.FAnalysis'!U$8</f>
        <v>29923.306242455565</v>
      </c>
      <c r="I22" s="261">
        <f>'4a.FAnalysis'!U$9</f>
        <v>29427.306242455565</v>
      </c>
      <c r="J22" s="261"/>
      <c r="K22" s="264">
        <f>'4a.FAnalysis'!U$11</f>
        <v>0.13003959011721541</v>
      </c>
      <c r="L22" s="261"/>
      <c r="M22" s="420"/>
      <c r="N22" s="260">
        <v>18</v>
      </c>
      <c r="O22" s="261">
        <f>'4a.FAnalysis'!U$15</f>
        <v>64.499636698138843</v>
      </c>
      <c r="P22" s="330" t="str">
        <f>'4a.FAnalysis'!U$16</f>
        <v>--</v>
      </c>
      <c r="Q22" s="261">
        <f>'4a.FAnalysis'!U$17</f>
        <v>64.499636698138843</v>
      </c>
      <c r="R22" s="329" t="s">
        <v>31</v>
      </c>
      <c r="S22" s="261">
        <f>'4a.FAnalysis'!U$19</f>
        <v>3891.2144787208349</v>
      </c>
      <c r="T22" s="261">
        <f>'4a.FAnalysis'!U$20</f>
        <v>3826.7148420226963</v>
      </c>
    </row>
    <row r="23" spans="2:20" x14ac:dyDescent="0.55000000000000004">
      <c r="B23" s="420"/>
      <c r="C23" s="260">
        <v>19</v>
      </c>
      <c r="D23" s="261">
        <f>'4a.FAnalysis'!V$4</f>
        <v>496</v>
      </c>
      <c r="E23" s="330" t="str">
        <f>'4a.FAnalysis'!V$5</f>
        <v>--</v>
      </c>
      <c r="F23" s="268">
        <f>'4a.FAnalysis'!V$6</f>
        <v>496</v>
      </c>
      <c r="G23" s="329" t="s">
        <v>31</v>
      </c>
      <c r="H23" s="269">
        <f>'4a.FAnalysis'!V$8</f>
        <v>29923.306242455565</v>
      </c>
      <c r="I23" s="261">
        <f>'4a.FAnalysis'!V$9</f>
        <v>29427.306242455565</v>
      </c>
      <c r="J23" s="261"/>
      <c r="K23" s="264">
        <f>'4a.FAnalysis'!V$11</f>
        <v>0.1161067768903709</v>
      </c>
      <c r="L23" s="261"/>
      <c r="M23" s="420"/>
      <c r="N23" s="260">
        <v>19</v>
      </c>
      <c r="O23" s="261">
        <f>'4a.FAnalysis'!V$15</f>
        <v>57.588961337623964</v>
      </c>
      <c r="P23" s="330" t="str">
        <f>'4a.FAnalysis'!V$16</f>
        <v>--</v>
      </c>
      <c r="Q23" s="261">
        <f>'4a.FAnalysis'!V$17</f>
        <v>57.588961337623964</v>
      </c>
      <c r="R23" s="329" t="s">
        <v>31</v>
      </c>
      <c r="S23" s="261">
        <f>'4a.FAnalysis'!V$19</f>
        <v>3474.298641715031</v>
      </c>
      <c r="T23" s="261">
        <f>'4a.FAnalysis'!V$20</f>
        <v>3416.709680377407</v>
      </c>
    </row>
    <row r="24" spans="2:20" x14ac:dyDescent="0.55000000000000004">
      <c r="B24" s="420"/>
      <c r="C24" s="260">
        <v>20</v>
      </c>
      <c r="D24" s="261">
        <f>'4a.FAnalysis'!W$4</f>
        <v>496</v>
      </c>
      <c r="E24" s="330" t="str">
        <f>'4a.FAnalysis'!W$5</f>
        <v>--</v>
      </c>
      <c r="F24" s="268">
        <f>'4a.FAnalysis'!W$6</f>
        <v>496</v>
      </c>
      <c r="G24" s="329" t="s">
        <v>31</v>
      </c>
      <c r="H24" s="269">
        <f>'4a.FAnalysis'!W$8</f>
        <v>29923.306242455565</v>
      </c>
      <c r="I24" s="261">
        <f>'4a.FAnalysis'!W$9</f>
        <v>29427.306242455565</v>
      </c>
      <c r="J24" s="261"/>
      <c r="K24" s="264">
        <f>'4a.FAnalysis'!W$11</f>
        <v>0.1036667650806883</v>
      </c>
      <c r="L24" s="261"/>
      <c r="M24" s="420"/>
      <c r="N24" s="260">
        <v>20</v>
      </c>
      <c r="O24" s="261">
        <f>'4a.FAnalysis'!W$15</f>
        <v>51.418715480021397</v>
      </c>
      <c r="P24" s="330" t="str">
        <f>'4a.FAnalysis'!W$16</f>
        <v>--</v>
      </c>
      <c r="Q24" s="261">
        <f>'4a.FAnalysis'!W$17</f>
        <v>51.418715480021397</v>
      </c>
      <c r="R24" s="329" t="s">
        <v>31</v>
      </c>
      <c r="S24" s="261">
        <f>'4a.FAnalysis'!W$19</f>
        <v>3102.0523586741347</v>
      </c>
      <c r="T24" s="261">
        <f>'4a.FAnalysis'!W$20</f>
        <v>3050.6336431941131</v>
      </c>
    </row>
    <row r="25" spans="2:20" x14ac:dyDescent="0.55000000000000004">
      <c r="B25" s="420"/>
      <c r="C25" s="260">
        <v>21</v>
      </c>
      <c r="D25" s="261">
        <f>'4a.FAnalysis'!X$4</f>
        <v>496</v>
      </c>
      <c r="E25" s="330" t="str">
        <f>'4a.FAnalysis'!X$5</f>
        <v>--</v>
      </c>
      <c r="F25" s="268">
        <f>'4a.FAnalysis'!X$6</f>
        <v>496</v>
      </c>
      <c r="G25" s="329" t="s">
        <v>31</v>
      </c>
      <c r="H25" s="269">
        <f>'4a.FAnalysis'!X$8</f>
        <v>29923.306242455565</v>
      </c>
      <c r="I25" s="261">
        <f>'4a.FAnalysis'!X$9</f>
        <v>29427.306242455565</v>
      </c>
      <c r="J25" s="261"/>
      <c r="K25" s="264">
        <f>'4a.FAnalysis'!X$11</f>
        <v>9.2559611679185971E-2</v>
      </c>
      <c r="L25" s="261"/>
      <c r="M25" s="420"/>
      <c r="N25" s="260">
        <v>21</v>
      </c>
      <c r="O25" s="261">
        <f>'4a.FAnalysis'!X$15</f>
        <v>45.909567392876241</v>
      </c>
      <c r="P25" s="330" t="str">
        <f>'4a.FAnalysis'!X$16</f>
        <v>--</v>
      </c>
      <c r="Q25" s="261">
        <f>'4a.FAnalysis'!X$17</f>
        <v>45.909567392876241</v>
      </c>
      <c r="R25" s="329" t="s">
        <v>31</v>
      </c>
      <c r="S25" s="261">
        <f>'4a.FAnalysis'!X$19</f>
        <v>2769.6896059590485</v>
      </c>
      <c r="T25" s="261">
        <f>'4a.FAnalysis'!X$20</f>
        <v>2723.7800385661722</v>
      </c>
    </row>
    <row r="26" spans="2:20" x14ac:dyDescent="0.55000000000000004">
      <c r="B26" s="420"/>
      <c r="C26" s="260">
        <v>22</v>
      </c>
      <c r="D26" s="261">
        <f>'4a.FAnalysis'!Y$4</f>
        <v>496</v>
      </c>
      <c r="E26" s="330" t="str">
        <f>'4a.FAnalysis'!Y$5</f>
        <v>--</v>
      </c>
      <c r="F26" s="268">
        <f>'4a.FAnalysis'!Y$6</f>
        <v>496</v>
      </c>
      <c r="G26" s="329" t="s">
        <v>31</v>
      </c>
      <c r="H26" s="269">
        <f>'4a.FAnalysis'!Y$8</f>
        <v>29923.306242455565</v>
      </c>
      <c r="I26" s="261">
        <f>'4a.FAnalysis'!Y$9</f>
        <v>29427.306242455565</v>
      </c>
      <c r="J26" s="261"/>
      <c r="K26" s="264">
        <f>'4a.FAnalysis'!Y$11</f>
        <v>8.2642510427844609E-2</v>
      </c>
      <c r="L26" s="261"/>
      <c r="M26" s="420"/>
      <c r="N26" s="260">
        <v>22</v>
      </c>
      <c r="O26" s="261">
        <f>'4a.FAnalysis'!Y$15</f>
        <v>40.990685172210924</v>
      </c>
      <c r="P26" s="330" t="str">
        <f>'4a.FAnalysis'!Y$16</f>
        <v>--</v>
      </c>
      <c r="Q26" s="261">
        <f>'4a.FAnalysis'!Y$17</f>
        <v>40.990685172210924</v>
      </c>
      <c r="R26" s="329" t="s">
        <v>31</v>
      </c>
      <c r="S26" s="261">
        <f>'4a.FAnalysis'!Y$19</f>
        <v>2472.9371481777216</v>
      </c>
      <c r="T26" s="261">
        <f>'4a.FAnalysis'!Y$20</f>
        <v>2431.9464630055109</v>
      </c>
    </row>
    <row r="27" spans="2:20" x14ac:dyDescent="0.55000000000000004">
      <c r="B27" s="420"/>
      <c r="C27" s="260">
        <v>23</v>
      </c>
      <c r="D27" s="261">
        <f>'4a.FAnalysis'!Z$4</f>
        <v>496</v>
      </c>
      <c r="E27" s="330" t="str">
        <f>'4a.FAnalysis'!Z$5</f>
        <v>--</v>
      </c>
      <c r="F27" s="268">
        <f>'4a.FAnalysis'!Z$6</f>
        <v>496</v>
      </c>
      <c r="G27" s="329" t="s">
        <v>31</v>
      </c>
      <c r="H27" s="269">
        <f>'4a.FAnalysis'!Z$8</f>
        <v>29923.306242455565</v>
      </c>
      <c r="I27" s="261">
        <f>'4a.FAnalysis'!Z$9</f>
        <v>29427.306242455565</v>
      </c>
      <c r="J27" s="261"/>
      <c r="K27" s="264">
        <f>'4a.FAnalysis'!Z$11</f>
        <v>7.3787955739146982E-2</v>
      </c>
      <c r="L27" s="261"/>
      <c r="M27" s="420"/>
      <c r="N27" s="260">
        <v>23</v>
      </c>
      <c r="O27" s="261">
        <f>'4a.FAnalysis'!Z$15</f>
        <v>36.598826046616907</v>
      </c>
      <c r="P27" s="330" t="str">
        <f>'4a.FAnalysis'!Z$16</f>
        <v>--</v>
      </c>
      <c r="Q27" s="261">
        <f>'4a.FAnalysis'!Z$17</f>
        <v>36.598826046616907</v>
      </c>
      <c r="R27" s="329" t="s">
        <v>31</v>
      </c>
      <c r="S27" s="261">
        <f>'4a.FAnalysis'!Z$19</f>
        <v>2207.9795965872518</v>
      </c>
      <c r="T27" s="261">
        <f>'4a.FAnalysis'!Z$20</f>
        <v>2171.3807705406348</v>
      </c>
    </row>
    <row r="28" spans="2:20" x14ac:dyDescent="0.55000000000000004">
      <c r="B28" s="420"/>
      <c r="C28" s="260">
        <v>24</v>
      </c>
      <c r="D28" s="261">
        <f>'4a.FAnalysis'!AA$4</f>
        <v>496</v>
      </c>
      <c r="E28" s="330" t="str">
        <f>'4a.FAnalysis'!AA$5</f>
        <v>--</v>
      </c>
      <c r="F28" s="268">
        <f>'4a.FAnalysis'!AA$6</f>
        <v>496</v>
      </c>
      <c r="G28" s="329" t="s">
        <v>31</v>
      </c>
      <c r="H28" s="269">
        <f>'4a.FAnalysis'!AA$8</f>
        <v>29923.306242455565</v>
      </c>
      <c r="I28" s="261">
        <f>'4a.FAnalysis'!AA$9</f>
        <v>29427.306242455565</v>
      </c>
      <c r="J28" s="261"/>
      <c r="K28" s="264">
        <f>'4a.FAnalysis'!AA$11</f>
        <v>6.5882103338524081E-2</v>
      </c>
      <c r="L28" s="261"/>
      <c r="M28" s="420"/>
      <c r="N28" s="260">
        <v>24</v>
      </c>
      <c r="O28" s="261">
        <f>'4a.FAnalysis'!AA$15</f>
        <v>32.677523255907943</v>
      </c>
      <c r="P28" s="330" t="str">
        <f>'4a.FAnalysis'!AA$16</f>
        <v>--</v>
      </c>
      <c r="Q28" s="261">
        <f>'4a.FAnalysis'!AA$17</f>
        <v>32.677523255907943</v>
      </c>
      <c r="R28" s="329" t="s">
        <v>31</v>
      </c>
      <c r="S28" s="261">
        <f>'4a.FAnalysis'!AA$19</f>
        <v>1971.4103540957603</v>
      </c>
      <c r="T28" s="261">
        <f>'4a.FAnalysis'!AA$20</f>
        <v>1938.7328308398523</v>
      </c>
    </row>
    <row r="29" spans="2:20" x14ac:dyDescent="0.55000000000000004">
      <c r="B29" s="420"/>
      <c r="C29" s="260">
        <v>25</v>
      </c>
      <c r="D29" s="261">
        <f>'4a.FAnalysis'!AB$4</f>
        <v>496</v>
      </c>
      <c r="E29" s="330" t="str">
        <f>'4a.FAnalysis'!AB$5</f>
        <v>--</v>
      </c>
      <c r="F29" s="268">
        <f>'4a.FAnalysis'!AB$6</f>
        <v>496</v>
      </c>
      <c r="G29" s="329" t="s">
        <v>31</v>
      </c>
      <c r="H29" s="269">
        <f>'4a.FAnalysis'!AB$8</f>
        <v>29923.306242455565</v>
      </c>
      <c r="I29" s="261">
        <f>'4a.FAnalysis'!AB$9</f>
        <v>29427.306242455565</v>
      </c>
      <c r="J29" s="261"/>
      <c r="K29" s="264">
        <f>'4a.FAnalysis'!AB$11</f>
        <v>5.8823306552253637E-2</v>
      </c>
      <c r="L29" s="261"/>
      <c r="M29" s="420"/>
      <c r="N29" s="260">
        <v>25</v>
      </c>
      <c r="O29" s="261">
        <f>'4a.FAnalysis'!AB$15</f>
        <v>29.176360049917804</v>
      </c>
      <c r="P29" s="330" t="str">
        <f>'4a.FAnalysis'!AB$16</f>
        <v>--</v>
      </c>
      <c r="Q29" s="261">
        <f>'4a.FAnalysis'!AB$17</f>
        <v>29.176360049917804</v>
      </c>
      <c r="R29" s="329" t="s">
        <v>31</v>
      </c>
      <c r="S29" s="261">
        <f>'4a.FAnalysis'!AB$19</f>
        <v>1760.1878161569286</v>
      </c>
      <c r="T29" s="261">
        <f>'4a.FAnalysis'!AB$20</f>
        <v>1731.0114561070109</v>
      </c>
    </row>
    <row r="30" spans="2:20" x14ac:dyDescent="0.55000000000000004">
      <c r="B30" s="420"/>
      <c r="C30" s="260">
        <v>26</v>
      </c>
      <c r="D30" s="261">
        <f>'4a.FAnalysis'!AC$4</f>
        <v>496</v>
      </c>
      <c r="E30" s="330" t="str">
        <f>'4a.FAnalysis'!AC$5</f>
        <v>--</v>
      </c>
      <c r="F30" s="268">
        <f>'4a.FAnalysis'!AC$6</f>
        <v>496</v>
      </c>
      <c r="G30" s="329" t="s">
        <v>31</v>
      </c>
      <c r="H30" s="269">
        <f>'4a.FAnalysis'!AC$8</f>
        <v>29923.306242455565</v>
      </c>
      <c r="I30" s="261">
        <f>'4a.FAnalysis'!AC$9</f>
        <v>29427.306242455565</v>
      </c>
      <c r="J30" s="261"/>
      <c r="K30" s="264">
        <f>'4a.FAnalysis'!AC$11</f>
        <v>5.2520809421655032E-2</v>
      </c>
      <c r="L30" s="261"/>
      <c r="M30" s="420"/>
      <c r="N30" s="260">
        <v>26</v>
      </c>
      <c r="O30" s="261">
        <f>'4a.FAnalysis'!AC$15</f>
        <v>26.050321473140897</v>
      </c>
      <c r="P30" s="330" t="str">
        <f>'4a.FAnalysis'!AC$16</f>
        <v>--</v>
      </c>
      <c r="Q30" s="261">
        <f>'4a.FAnalysis'!AC$17</f>
        <v>26.050321473140897</v>
      </c>
      <c r="R30" s="329" t="s">
        <v>31</v>
      </c>
      <c r="S30" s="261">
        <f>'4a.FAnalysis'!AC$19</f>
        <v>1571.5962644258291</v>
      </c>
      <c r="T30" s="261">
        <f>'4a.FAnalysis'!AC$20</f>
        <v>1545.5459429526882</v>
      </c>
    </row>
    <row r="31" spans="2:20" x14ac:dyDescent="0.55000000000000004">
      <c r="B31" s="420"/>
      <c r="C31" s="260">
        <v>27</v>
      </c>
      <c r="D31" s="261">
        <f>'4a.FAnalysis'!AD$4</f>
        <v>496</v>
      </c>
      <c r="E31" s="330" t="str">
        <f>'4a.FAnalysis'!AD$5</f>
        <v>--</v>
      </c>
      <c r="F31" s="268">
        <f>'4a.FAnalysis'!AD$6</f>
        <v>496</v>
      </c>
      <c r="G31" s="329" t="s">
        <v>31</v>
      </c>
      <c r="H31" s="269">
        <f>'4a.FAnalysis'!AD$8</f>
        <v>29923.306242455565</v>
      </c>
      <c r="I31" s="261">
        <f>'4a.FAnalysis'!AD$9</f>
        <v>29427.306242455565</v>
      </c>
      <c r="J31" s="261"/>
      <c r="K31" s="264">
        <f>'4a.FAnalysis'!AD$11</f>
        <v>4.6893579840763415E-2</v>
      </c>
      <c r="L31" s="261"/>
      <c r="M31" s="420"/>
      <c r="N31" s="260">
        <v>27</v>
      </c>
      <c r="O31" s="261">
        <f>'4a.FAnalysis'!AD$15</f>
        <v>23.259215601018653</v>
      </c>
      <c r="P31" s="330" t="str">
        <f>'4a.FAnalysis'!AD$16</f>
        <v>--</v>
      </c>
      <c r="Q31" s="261">
        <f>'4a.FAnalysis'!AD$17</f>
        <v>23.259215601018653</v>
      </c>
      <c r="R31" s="329" t="s">
        <v>31</v>
      </c>
      <c r="S31" s="261">
        <f>'4a.FAnalysis'!AD$19</f>
        <v>1403.2109503802044</v>
      </c>
      <c r="T31" s="261">
        <f>'4a.FAnalysis'!AD$20</f>
        <v>1379.9517347791857</v>
      </c>
    </row>
    <row r="32" spans="2:20" x14ac:dyDescent="0.55000000000000004">
      <c r="B32" s="420"/>
      <c r="C32" s="260">
        <v>28</v>
      </c>
      <c r="D32" s="261">
        <f>'4a.FAnalysis'!AE$4</f>
        <v>496</v>
      </c>
      <c r="E32" s="330" t="str">
        <f>'4a.FAnalysis'!AE$5</f>
        <v>--</v>
      </c>
      <c r="F32" s="268">
        <f>'4a.FAnalysis'!AE$6</f>
        <v>496</v>
      </c>
      <c r="G32" s="329" t="s">
        <v>31</v>
      </c>
      <c r="H32" s="269">
        <f>'4a.FAnalysis'!AE$8</f>
        <v>29923.306242455565</v>
      </c>
      <c r="I32" s="261">
        <f>'4a.FAnalysis'!AE$9</f>
        <v>29427.306242455565</v>
      </c>
      <c r="J32" s="261"/>
      <c r="K32" s="264">
        <f>'4a.FAnalysis'!AE$11</f>
        <v>4.1869267714967337E-2</v>
      </c>
      <c r="L32" s="261"/>
      <c r="M32" s="420"/>
      <c r="N32" s="260">
        <v>28</v>
      </c>
      <c r="O32" s="261">
        <f>'4a.FAnalysis'!AE$15</f>
        <v>20.767156786623801</v>
      </c>
      <c r="P32" s="330" t="str">
        <f>'4a.FAnalysis'!AE$16</f>
        <v>--</v>
      </c>
      <c r="Q32" s="261">
        <f>'4a.FAnalysis'!AE$17</f>
        <v>20.767156786623801</v>
      </c>
      <c r="R32" s="329" t="s">
        <v>31</v>
      </c>
      <c r="S32" s="261">
        <f>'4a.FAnalysis'!AE$19</f>
        <v>1252.8669199823253</v>
      </c>
      <c r="T32" s="261">
        <f>'4a.FAnalysis'!AE$20</f>
        <v>1232.0997631957016</v>
      </c>
    </row>
    <row r="33" spans="2:20" x14ac:dyDescent="0.55000000000000004">
      <c r="B33" s="420"/>
      <c r="C33" s="260">
        <v>29</v>
      </c>
      <c r="D33" s="261">
        <f>'4a.FAnalysis'!AF$4</f>
        <v>496</v>
      </c>
      <c r="E33" s="330" t="str">
        <f>'4a.FAnalysis'!AF$5</f>
        <v>--</v>
      </c>
      <c r="F33" s="268">
        <f>'4a.FAnalysis'!AF$6</f>
        <v>496</v>
      </c>
      <c r="G33" s="329" t="s">
        <v>31</v>
      </c>
      <c r="H33" s="269">
        <f>'4a.FAnalysis'!AF$8</f>
        <v>29923.306242455565</v>
      </c>
      <c r="I33" s="261">
        <f>'4a.FAnalysis'!AF$9</f>
        <v>29427.306242455565</v>
      </c>
      <c r="J33" s="261"/>
      <c r="K33" s="264">
        <f>'4a.FAnalysis'!AF$11</f>
        <v>3.7383274745506546E-2</v>
      </c>
      <c r="L33" s="261"/>
      <c r="M33" s="420"/>
      <c r="N33" s="260">
        <v>29</v>
      </c>
      <c r="O33" s="261">
        <f>'4a.FAnalysis'!AF$15</f>
        <v>18.542104273771248</v>
      </c>
      <c r="P33" s="330" t="str">
        <f>'4a.FAnalysis'!AF$16</f>
        <v>--</v>
      </c>
      <c r="Q33" s="261">
        <f>'4a.FAnalysis'!AF$17</f>
        <v>18.542104273771248</v>
      </c>
      <c r="R33" s="329" t="s">
        <v>31</v>
      </c>
      <c r="S33" s="261">
        <f>'4a.FAnalysis'!AF$19</f>
        <v>1118.6311785556475</v>
      </c>
      <c r="T33" s="261">
        <f>'4a.FAnalysis'!AF$20</f>
        <v>1100.0890742818763</v>
      </c>
    </row>
    <row r="34" spans="2:20" x14ac:dyDescent="0.55000000000000004">
      <c r="B34" s="420"/>
      <c r="C34" s="260">
        <v>30</v>
      </c>
      <c r="D34" s="261">
        <f>'4a.FAnalysis'!AG$4</f>
        <v>496</v>
      </c>
      <c r="E34" s="330" t="str">
        <f>'4a.FAnalysis'!AG$5</f>
        <v>--</v>
      </c>
      <c r="F34" s="268">
        <f>'4a.FAnalysis'!AG$6</f>
        <v>496</v>
      </c>
      <c r="G34" s="329" t="s">
        <v>31</v>
      </c>
      <c r="H34" s="269">
        <f>'4a.FAnalysis'!AG$8</f>
        <v>29923.306242455565</v>
      </c>
      <c r="I34" s="261">
        <f>'4a.FAnalysis'!AG$9</f>
        <v>29427.306242455565</v>
      </c>
      <c r="J34" s="261"/>
      <c r="K34" s="264">
        <f>'4a.FAnalysis'!AG$11</f>
        <v>3.3377923879916553E-2</v>
      </c>
      <c r="L34" s="261"/>
      <c r="M34" s="420"/>
      <c r="N34" s="260">
        <v>30</v>
      </c>
      <c r="O34" s="261">
        <f>'4a.FAnalysis'!AG$15</f>
        <v>16.55545024443861</v>
      </c>
      <c r="P34" s="330" t="str">
        <f>'4a.FAnalysis'!AG$16</f>
        <v>--</v>
      </c>
      <c r="Q34" s="261">
        <f>'4a.FAnalysis'!AG$17</f>
        <v>16.55545024443861</v>
      </c>
      <c r="R34" s="329" t="s">
        <v>31</v>
      </c>
      <c r="S34" s="261">
        <f>'4a.FAnalysis'!AG$19</f>
        <v>998.7778379961137</v>
      </c>
      <c r="T34" s="261">
        <f>'4a.FAnalysis'!AG$20</f>
        <v>982.222387751675</v>
      </c>
    </row>
    <row r="35" spans="2:20" x14ac:dyDescent="0.55000000000000004">
      <c r="B35" s="419" t="s">
        <v>30</v>
      </c>
      <c r="C35" s="419"/>
      <c r="D35" s="266"/>
      <c r="E35" s="266"/>
      <c r="F35" s="266"/>
      <c r="G35" s="266">
        <f>'4a.FAnalysis'!AH$6</f>
        <v>0</v>
      </c>
      <c r="H35" s="266"/>
      <c r="I35" s="266"/>
      <c r="J35" s="266"/>
      <c r="K35" s="266"/>
      <c r="L35" s="266"/>
      <c r="M35" s="419" t="s">
        <v>30</v>
      </c>
      <c r="N35" s="419"/>
      <c r="O35" s="266"/>
      <c r="P35" s="266"/>
      <c r="Q35" s="266"/>
      <c r="R35" s="266">
        <f>'4a.FAnalysis'!AH$18</f>
        <v>0</v>
      </c>
      <c r="S35" s="266"/>
      <c r="T35" s="266"/>
    </row>
    <row r="37" spans="2:20" x14ac:dyDescent="0.55000000000000004">
      <c r="D37" s="277" t="s">
        <v>274</v>
      </c>
      <c r="E37" s="262">
        <f>'4a.FAnalysis'!C22</f>
        <v>2330.2590173131957</v>
      </c>
      <c r="F37" s="135" t="s">
        <v>110</v>
      </c>
    </row>
    <row r="38" spans="2:20" x14ac:dyDescent="0.55000000000000004">
      <c r="D38" s="277" t="s">
        <v>275</v>
      </c>
      <c r="E38" s="270">
        <f>'4a.FAnalysis'!C23</f>
        <v>1.0176844325786014</v>
      </c>
    </row>
    <row r="39" spans="2:20" x14ac:dyDescent="0.55000000000000004">
      <c r="D39" s="277" t="s">
        <v>276</v>
      </c>
      <c r="E39" s="271">
        <f>'4a.FAnalysis'!C24</f>
        <v>0.12215674012108235</v>
      </c>
    </row>
  </sheetData>
  <sheetProtection sheet="1" objects="1" scenarios="1"/>
  <mergeCells count="8">
    <mergeCell ref="B35:C35"/>
    <mergeCell ref="M35:N35"/>
    <mergeCell ref="B2:I2"/>
    <mergeCell ref="M2:T2"/>
    <mergeCell ref="B4:C4"/>
    <mergeCell ref="M4:N4"/>
    <mergeCell ref="B5:B34"/>
    <mergeCell ref="M5:M34"/>
  </mergeCells>
  <phoneticPr fontId="4"/>
  <printOptions horizontalCentered="1"/>
  <pageMargins left="0.7" right="0.7" top="0.75" bottom="0.75" header="0.3" footer="0.3"/>
  <pageSetup paperSize="9" scale="55" orientation="landscape"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F84E4-7ABE-4143-ACC9-F996E67CBA2C}">
  <sheetPr codeName="Sheet8">
    <tabColor theme="5" tint="0.59999389629810485"/>
  </sheetPr>
  <dimension ref="A1:AK54"/>
  <sheetViews>
    <sheetView zoomScale="70" zoomScaleNormal="70" workbookViewId="0">
      <pane xSplit="1" ySplit="1" topLeftCell="B35" activePane="bottomRight" state="frozen"/>
      <selection pane="topRight" activeCell="B1" sqref="B1"/>
      <selection pane="bottomLeft" activeCell="A3" sqref="A3"/>
      <selection pane="bottomRight" activeCell="B4" sqref="B4"/>
    </sheetView>
  </sheetViews>
  <sheetFormatPr defaultColWidth="8.6640625" defaultRowHeight="18" x14ac:dyDescent="0.55000000000000004"/>
  <cols>
    <col min="1" max="1" width="2.58203125" style="25" customWidth="1"/>
    <col min="2" max="2" width="71.25" style="25" customWidth="1"/>
    <col min="3" max="5" width="8.6640625" style="25" customWidth="1"/>
    <col min="6" max="6" width="4.58203125" style="25" customWidth="1"/>
    <col min="7" max="7" width="70.75" style="25" customWidth="1"/>
    <col min="8" max="10" width="8.6640625" style="25" customWidth="1"/>
    <col min="11" max="13" width="8.6640625" style="25"/>
    <col min="14" max="14" width="9.08203125" style="25" bestFit="1" customWidth="1"/>
    <col min="15" max="16384" width="8.6640625" style="25"/>
  </cols>
  <sheetData>
    <row r="1" spans="1:10" s="27" customFormat="1" ht="20" x14ac:dyDescent="0.6">
      <c r="A1" s="26" t="str">
        <f>"Economic Costs ("&amp;MID('0.Contents'!A1,20,(LEN('0.Contents'!A1)-20))&amp;")"</f>
        <v>Economic Costs (Power Transmission)</v>
      </c>
    </row>
    <row r="2" spans="1:10" ht="20" x14ac:dyDescent="0.6">
      <c r="A2" s="28"/>
      <c r="B2" s="29" t="s">
        <v>21</v>
      </c>
      <c r="C2" s="30"/>
    </row>
    <row r="3" spans="1:10" ht="20" x14ac:dyDescent="0.6">
      <c r="A3" s="28"/>
      <c r="B3" s="29" t="s">
        <v>281</v>
      </c>
      <c r="C3" s="74">
        <f>1/'1.Params_8.Sensitivity'!$D$8</f>
        <v>0.86956521739130443</v>
      </c>
    </row>
    <row r="4" spans="1:10" ht="20" x14ac:dyDescent="0.6">
      <c r="A4" s="28"/>
      <c r="B4" s="186" t="s">
        <v>33</v>
      </c>
      <c r="C4" s="185">
        <f>1/'1.Params_8.Sensitivity'!$D$9</f>
        <v>0.68965517241379315</v>
      </c>
    </row>
    <row r="5" spans="1:10" ht="20" x14ac:dyDescent="0.6">
      <c r="A5" s="28"/>
    </row>
    <row r="6" spans="1:10" ht="20" x14ac:dyDescent="0.6">
      <c r="A6" s="28"/>
      <c r="B6" s="31" t="s">
        <v>15</v>
      </c>
      <c r="G6" s="31" t="s">
        <v>16</v>
      </c>
    </row>
    <row r="7" spans="1:10" ht="54.5" x14ac:dyDescent="0.6">
      <c r="A7" s="28"/>
      <c r="B7" s="32" t="s">
        <v>11</v>
      </c>
      <c r="C7" s="33" t="s">
        <v>27</v>
      </c>
      <c r="D7" s="33" t="s">
        <v>4</v>
      </c>
      <c r="E7" s="34" t="s">
        <v>28</v>
      </c>
      <c r="F7" s="35" t="s">
        <v>17</v>
      </c>
      <c r="G7" s="32" t="s">
        <v>11</v>
      </c>
      <c r="H7" s="33" t="s">
        <v>27</v>
      </c>
      <c r="I7" s="33" t="s">
        <v>4</v>
      </c>
      <c r="J7" s="34" t="s">
        <v>28</v>
      </c>
    </row>
    <row r="8" spans="1:10" x14ac:dyDescent="0.55000000000000004">
      <c r="B8" s="4" t="s">
        <v>5</v>
      </c>
      <c r="C8" s="45">
        <f>SUM('2b.FCosts'!C4:E4)</f>
        <v>0</v>
      </c>
      <c r="D8" s="45">
        <f>'2b.FCosts'!F4</f>
        <v>0</v>
      </c>
      <c r="E8" s="45">
        <f>'2b.FCosts'!G4</f>
        <v>0</v>
      </c>
      <c r="G8" s="29" t="s">
        <v>248</v>
      </c>
      <c r="H8" s="45">
        <f>C8*$C$3</f>
        <v>0</v>
      </c>
      <c r="I8" s="45">
        <f>D8</f>
        <v>0</v>
      </c>
      <c r="J8" s="45">
        <f>H8+I8*'1.Params_8.Sensitivity'!$D$15</f>
        <v>0</v>
      </c>
    </row>
    <row r="9" spans="1:10" x14ac:dyDescent="0.55000000000000004">
      <c r="B9" s="4" t="s">
        <v>6</v>
      </c>
      <c r="C9" s="45">
        <f>SUM('2b.FCosts'!C5:E5)</f>
        <v>0</v>
      </c>
      <c r="D9" s="45">
        <f>'2b.FCosts'!F5</f>
        <v>0</v>
      </c>
      <c r="E9" s="45">
        <f>'2b.FCosts'!G5</f>
        <v>0</v>
      </c>
      <c r="G9" s="4" t="s">
        <v>6</v>
      </c>
      <c r="H9" s="45">
        <f>SUM(H10:H11)</f>
        <v>0</v>
      </c>
      <c r="I9" s="45">
        <f t="shared" ref="I9:J9" si="0">SUM(I10:I11)</f>
        <v>0</v>
      </c>
      <c r="J9" s="45">
        <f t="shared" si="0"/>
        <v>0</v>
      </c>
    </row>
    <row r="10" spans="1:10" x14ac:dyDescent="0.55000000000000004">
      <c r="B10" s="4" t="s">
        <v>9</v>
      </c>
      <c r="C10" s="45">
        <f>SUM('2b.FCosts'!C6:E6)</f>
        <v>0</v>
      </c>
      <c r="D10" s="45">
        <f>'2b.FCosts'!F6</f>
        <v>0</v>
      </c>
      <c r="E10" s="45">
        <f>'2b.FCosts'!G6</f>
        <v>0</v>
      </c>
      <c r="G10" s="4" t="s">
        <v>249</v>
      </c>
      <c r="H10" s="45">
        <f t="shared" ref="H10:H14" si="1">C10*$C$3</f>
        <v>0</v>
      </c>
      <c r="I10" s="45">
        <f t="shared" ref="I10:I14" si="2">D10</f>
        <v>0</v>
      </c>
      <c r="J10" s="45">
        <f>H10+I10*'1.Params_8.Sensitivity'!$D$15</f>
        <v>0</v>
      </c>
    </row>
    <row r="11" spans="1:10" x14ac:dyDescent="0.55000000000000004">
      <c r="B11" s="4" t="s">
        <v>10</v>
      </c>
      <c r="C11" s="45">
        <f>SUM('2b.FCosts'!C7:E7)</f>
        <v>0</v>
      </c>
      <c r="D11" s="45">
        <f>'2b.FCosts'!F7</f>
        <v>0</v>
      </c>
      <c r="E11" s="45">
        <f>'2b.FCosts'!G7</f>
        <v>0</v>
      </c>
      <c r="G11" s="4" t="s">
        <v>257</v>
      </c>
      <c r="H11" s="45">
        <f>C11*$C$4</f>
        <v>0</v>
      </c>
      <c r="I11" s="45">
        <f t="shared" si="2"/>
        <v>0</v>
      </c>
      <c r="J11" s="45">
        <f>H11+I11*'1.Params_8.Sensitivity'!$D$15</f>
        <v>0</v>
      </c>
    </row>
    <row r="12" spans="1:10" x14ac:dyDescent="0.55000000000000004">
      <c r="B12" s="4" t="s">
        <v>7</v>
      </c>
      <c r="C12" s="45">
        <f>SUM('2b.FCosts'!C8:E8)</f>
        <v>0</v>
      </c>
      <c r="D12" s="45">
        <f>'2b.FCosts'!F8</f>
        <v>0</v>
      </c>
      <c r="E12" s="45">
        <f>'2b.FCosts'!G8</f>
        <v>0</v>
      </c>
      <c r="G12" s="4" t="s">
        <v>250</v>
      </c>
      <c r="H12" s="45">
        <f t="shared" si="1"/>
        <v>0</v>
      </c>
      <c r="I12" s="45">
        <f t="shared" si="2"/>
        <v>0</v>
      </c>
      <c r="J12" s="45">
        <f>H12+I12*'1.Params_8.Sensitivity'!$D$15</f>
        <v>0</v>
      </c>
    </row>
    <row r="13" spans="1:10" x14ac:dyDescent="0.55000000000000004">
      <c r="B13" s="4" t="s">
        <v>190</v>
      </c>
      <c r="C13" s="45">
        <f>SUM('2b.FCosts'!C9:E9)</f>
        <v>0</v>
      </c>
      <c r="D13" s="45">
        <f>'2b.FCosts'!F9</f>
        <v>0</v>
      </c>
      <c r="E13" s="45">
        <f>'2b.FCosts'!G9</f>
        <v>0</v>
      </c>
      <c r="G13" s="4" t="s">
        <v>251</v>
      </c>
      <c r="H13" s="45">
        <f t="shared" si="1"/>
        <v>0</v>
      </c>
      <c r="I13" s="45">
        <f t="shared" si="2"/>
        <v>0</v>
      </c>
      <c r="J13" s="45">
        <f>H13+I13*'1.Params_8.Sensitivity'!$D$15</f>
        <v>0</v>
      </c>
    </row>
    <row r="14" spans="1:10" x14ac:dyDescent="0.55000000000000004">
      <c r="B14" s="4" t="s">
        <v>8</v>
      </c>
      <c r="C14" s="45">
        <f>SUM('2b.FCosts'!C10:E10)</f>
        <v>0</v>
      </c>
      <c r="D14" s="45">
        <f>'2b.FCosts'!F10</f>
        <v>0</v>
      </c>
      <c r="E14" s="45">
        <f>'2b.FCosts'!G10</f>
        <v>0</v>
      </c>
      <c r="G14" s="4" t="s">
        <v>252</v>
      </c>
      <c r="H14" s="45">
        <f t="shared" si="1"/>
        <v>0</v>
      </c>
      <c r="I14" s="45">
        <f t="shared" si="2"/>
        <v>0</v>
      </c>
      <c r="J14" s="45">
        <f>H14+I14*'1.Params_8.Sensitivity'!$D$15</f>
        <v>0</v>
      </c>
    </row>
    <row r="15" spans="1:10" x14ac:dyDescent="0.55000000000000004">
      <c r="B15" s="9" t="s">
        <v>32</v>
      </c>
      <c r="C15" s="46">
        <f>SUM('2b.FCosts'!C11:E11)</f>
        <v>0</v>
      </c>
      <c r="D15" s="46">
        <f>'2b.FCosts'!F11</f>
        <v>0</v>
      </c>
      <c r="E15" s="46">
        <f>'2b.FCosts'!G11</f>
        <v>0</v>
      </c>
      <c r="G15" s="176" t="s">
        <v>32</v>
      </c>
      <c r="H15" s="177" t="s">
        <v>31</v>
      </c>
      <c r="I15" s="177" t="s">
        <v>31</v>
      </c>
      <c r="J15" s="177" t="s">
        <v>31</v>
      </c>
    </row>
    <row r="16" spans="1:10" x14ac:dyDescent="0.55000000000000004">
      <c r="B16" s="171" t="s">
        <v>238</v>
      </c>
      <c r="C16" s="47">
        <f>SUM('2b.FCosts'!C12:E12)</f>
        <v>0</v>
      </c>
      <c r="D16" s="47">
        <f>'2b.FCosts'!F12</f>
        <v>0</v>
      </c>
      <c r="E16" s="47">
        <f>'2b.FCosts'!G12</f>
        <v>0</v>
      </c>
      <c r="G16" s="171" t="s">
        <v>247</v>
      </c>
      <c r="H16" s="327">
        <f>SUM(H8:H14)</f>
        <v>0</v>
      </c>
      <c r="I16" s="327">
        <f t="shared" ref="I16:J16" si="3">SUM(I8:I14)</f>
        <v>0</v>
      </c>
      <c r="J16" s="327">
        <f t="shared" si="3"/>
        <v>0</v>
      </c>
    </row>
    <row r="17" spans="2:14" x14ac:dyDescent="0.55000000000000004">
      <c r="B17" s="4" t="str">
        <f>"Physical Contingency ("&amp;TEXT('1.Params_8.Sensitivity'!D3,"0%")&amp;")"</f>
        <v>Physical Contingency (2%)</v>
      </c>
      <c r="C17" s="47">
        <f>SUM('2b.FCosts'!C13:E13)</f>
        <v>0</v>
      </c>
      <c r="D17" s="47">
        <f>'2b.FCosts'!F13</f>
        <v>0</v>
      </c>
      <c r="E17" s="47">
        <f>'2b.FCosts'!G13</f>
        <v>0</v>
      </c>
      <c r="G17" s="4" t="s">
        <v>253</v>
      </c>
      <c r="H17" s="47">
        <f>C17*$C$3</f>
        <v>0</v>
      </c>
      <c r="I17" s="47">
        <f t="shared" ref="I17" si="4">D17</f>
        <v>0</v>
      </c>
      <c r="J17" s="47">
        <f>H17+I17*'1.Params_8.Sensitivity'!$D$15</f>
        <v>0</v>
      </c>
    </row>
    <row r="18" spans="2:14" x14ac:dyDescent="0.55000000000000004">
      <c r="B18" s="172" t="str">
        <f>_xlfn.CONCAT("Price Contingency, Local currency ("&amp;TEXT('1.Params_8.Sensitivity'!D4,"0%")&amp;")"," / Foreign currency ("&amp;TEXT('1.Params_8.Sensitivity'!D5,"0%")&amp;")")</f>
        <v>Price Contingency, Local currency (5%) / Foreign currency (5%)</v>
      </c>
      <c r="C18" s="48">
        <f>SUM('2b.FCosts'!C14:E14)</f>
        <v>0</v>
      </c>
      <c r="D18" s="48">
        <f>'2b.FCosts'!F14</f>
        <v>0</v>
      </c>
      <c r="E18" s="48">
        <f>'2b.FCosts'!G14</f>
        <v>0</v>
      </c>
      <c r="G18" s="175" t="s">
        <v>25</v>
      </c>
      <c r="H18" s="322" t="s">
        <v>31</v>
      </c>
      <c r="I18" s="322" t="s">
        <v>31</v>
      </c>
      <c r="J18" s="322" t="s">
        <v>31</v>
      </c>
    </row>
    <row r="19" spans="2:14" x14ac:dyDescent="0.55000000000000004">
      <c r="B19" s="171" t="s">
        <v>243</v>
      </c>
      <c r="C19" s="45">
        <f>SUM('2b.FCosts'!C15:E15)</f>
        <v>0</v>
      </c>
      <c r="D19" s="45">
        <f>'2b.FCosts'!F15</f>
        <v>0</v>
      </c>
      <c r="E19" s="45">
        <f>'2b.FCosts'!G15</f>
        <v>0</v>
      </c>
      <c r="G19" s="308" t="s">
        <v>243</v>
      </c>
      <c r="H19" s="322" t="s">
        <v>31</v>
      </c>
      <c r="I19" s="322" t="s">
        <v>31</v>
      </c>
      <c r="J19" s="322" t="s">
        <v>31</v>
      </c>
    </row>
    <row r="20" spans="2:14" x14ac:dyDescent="0.55000000000000004">
      <c r="B20" s="171" t="s">
        <v>246</v>
      </c>
      <c r="C20" s="46">
        <f>SUM('2b.FCosts'!C16:E16)</f>
        <v>0</v>
      </c>
      <c r="D20" s="46">
        <f>'2b.FCosts'!F16</f>
        <v>0</v>
      </c>
      <c r="E20" s="46">
        <f>'2b.FCosts'!G16</f>
        <v>0</v>
      </c>
      <c r="G20" s="171" t="s">
        <v>254</v>
      </c>
      <c r="H20" s="46">
        <f>H16+H17</f>
        <v>0</v>
      </c>
      <c r="I20" s="46">
        <f t="shared" ref="I20" si="5">I16+I17</f>
        <v>0</v>
      </c>
      <c r="J20" s="69">
        <f>J16+J17</f>
        <v>0</v>
      </c>
      <c r="K20" s="135" t="s">
        <v>110</v>
      </c>
    </row>
    <row r="21" spans="2:14" ht="18.5" thickBot="1" x14ac:dyDescent="0.6">
      <c r="B21" s="70"/>
      <c r="C21" s="45"/>
      <c r="D21" s="45"/>
      <c r="E21" s="45"/>
      <c r="G21" s="70"/>
      <c r="H21" s="45"/>
      <c r="I21" s="45"/>
      <c r="J21" s="45"/>
    </row>
    <row r="22" spans="2:14" x14ac:dyDescent="0.55000000000000004">
      <c r="B22" s="293" t="s">
        <v>255</v>
      </c>
      <c r="C22" s="312" t="s">
        <v>256</v>
      </c>
      <c r="D22" s="312" t="s">
        <v>242</v>
      </c>
      <c r="E22" s="313" t="s">
        <v>24</v>
      </c>
      <c r="G22" s="293" t="s">
        <v>255</v>
      </c>
      <c r="H22" s="314" t="s">
        <v>256</v>
      </c>
      <c r="I22" s="314" t="s">
        <v>242</v>
      </c>
      <c r="J22" s="315" t="s">
        <v>24</v>
      </c>
    </row>
    <row r="23" spans="2:14" x14ac:dyDescent="0.55000000000000004">
      <c r="B23" s="297" t="s">
        <v>32</v>
      </c>
      <c r="C23" s="45">
        <f>SUM('2b.FCosts'!C19:E19)</f>
        <v>0</v>
      </c>
      <c r="D23" s="45">
        <f>'2b.FCosts'!F19</f>
        <v>0</v>
      </c>
      <c r="E23" s="316">
        <f>'2b.FCosts'!G19</f>
        <v>0</v>
      </c>
      <c r="G23" s="297" t="s">
        <v>32</v>
      </c>
      <c r="H23" s="177" t="s">
        <v>31</v>
      </c>
      <c r="I23" s="177" t="s">
        <v>31</v>
      </c>
      <c r="J23" s="317" t="s">
        <v>31</v>
      </c>
    </row>
    <row r="24" spans="2:14" x14ac:dyDescent="0.55000000000000004">
      <c r="B24" s="299" t="s">
        <v>238</v>
      </c>
      <c r="C24" s="46">
        <f>SUM('2b.FCosts'!C20:E20)</f>
        <v>187679.08000000002</v>
      </c>
      <c r="D24" s="46">
        <f>'2b.FCosts'!F20</f>
        <v>0</v>
      </c>
      <c r="E24" s="318">
        <f>'2b.FCosts'!G20</f>
        <v>187679.08000000002</v>
      </c>
      <c r="G24" s="299" t="s">
        <v>247</v>
      </c>
      <c r="H24" s="222">
        <f>(C24-C23)*$C$3</f>
        <v>163199.20000000004</v>
      </c>
      <c r="I24" s="45">
        <f>D24-D23</f>
        <v>0</v>
      </c>
      <c r="J24" s="319">
        <f>H24+I24*'1.Params_8.Sensitivity'!$D$15</f>
        <v>163199.20000000004</v>
      </c>
    </row>
    <row r="25" spans="2:14" x14ac:dyDescent="0.55000000000000004">
      <c r="B25" s="300" t="s">
        <v>26</v>
      </c>
      <c r="C25" s="45">
        <f>SUM('2b.FCosts'!C21:E21)</f>
        <v>3753.5816000000004</v>
      </c>
      <c r="D25" s="45">
        <f>'2b.FCosts'!F21</f>
        <v>0</v>
      </c>
      <c r="E25" s="316">
        <f>'2b.FCosts'!G21</f>
        <v>3753.5816000000004</v>
      </c>
      <c r="G25" s="300" t="s">
        <v>26</v>
      </c>
      <c r="H25" s="47">
        <f>C25*$C$3</f>
        <v>3263.9840000000008</v>
      </c>
      <c r="I25" s="47">
        <f>D25</f>
        <v>0</v>
      </c>
      <c r="J25" s="320">
        <f>H25+I25*'1.Params_8.Sensitivity'!$D$15</f>
        <v>3263.9840000000008</v>
      </c>
    </row>
    <row r="26" spans="2:14" x14ac:dyDescent="0.55000000000000004">
      <c r="B26" s="302" t="s">
        <v>25</v>
      </c>
      <c r="C26" s="45">
        <f>SUM('2b.FCosts'!C22:E22)</f>
        <v>9383.9540000000015</v>
      </c>
      <c r="D26" s="45">
        <f>'2b.FCosts'!F22</f>
        <v>0</v>
      </c>
      <c r="E26" s="316">
        <f>'2b.FCosts'!G22</f>
        <v>9383.9540000000015</v>
      </c>
      <c r="G26" s="321" t="s">
        <v>25</v>
      </c>
      <c r="H26" s="322" t="s">
        <v>31</v>
      </c>
      <c r="I26" s="322" t="s">
        <v>31</v>
      </c>
      <c r="J26" s="323" t="s">
        <v>31</v>
      </c>
    </row>
    <row r="27" spans="2:14" x14ac:dyDescent="0.55000000000000004">
      <c r="B27" s="299" t="s">
        <v>243</v>
      </c>
      <c r="C27" s="46">
        <f>SUM('2b.FCosts'!C23:E23)</f>
        <v>200816.61560000002</v>
      </c>
      <c r="D27" s="46">
        <f>'2b.FCosts'!F23</f>
        <v>0</v>
      </c>
      <c r="E27" s="318">
        <f>'2b.FCosts'!G23</f>
        <v>200816.61560000002</v>
      </c>
      <c r="G27" s="324" t="s">
        <v>243</v>
      </c>
      <c r="H27" s="177" t="s">
        <v>31</v>
      </c>
      <c r="I27" s="177" t="s">
        <v>31</v>
      </c>
      <c r="J27" s="317" t="s">
        <v>31</v>
      </c>
    </row>
    <row r="28" spans="2:14" ht="18.5" thickBot="1" x14ac:dyDescent="0.6">
      <c r="B28" s="304" t="s">
        <v>244</v>
      </c>
      <c r="C28" s="325">
        <f>SUM('2b.FCosts'!C24:E24)</f>
        <v>191432.66160000002</v>
      </c>
      <c r="D28" s="325">
        <f>'2b.FCosts'!F24</f>
        <v>0</v>
      </c>
      <c r="E28" s="335">
        <f>'2b.FCosts'!G24</f>
        <v>191432.66160000002</v>
      </c>
      <c r="G28" s="304" t="s">
        <v>254</v>
      </c>
      <c r="H28" s="325">
        <f>H24+H25</f>
        <v>166463.18400000004</v>
      </c>
      <c r="I28" s="325">
        <f>I24+I25</f>
        <v>0</v>
      </c>
      <c r="J28" s="326">
        <f>J24+J25</f>
        <v>166463.18400000004</v>
      </c>
      <c r="K28" s="135" t="s">
        <v>110</v>
      </c>
    </row>
    <row r="29" spans="2:14" x14ac:dyDescent="0.55000000000000004">
      <c r="B29" s="70"/>
      <c r="C29" s="45"/>
      <c r="D29" s="45"/>
      <c r="E29" s="45"/>
      <c r="G29" s="70"/>
      <c r="H29" s="45"/>
      <c r="I29" s="45"/>
      <c r="J29" s="45"/>
    </row>
    <row r="30" spans="2:14" x14ac:dyDescent="0.55000000000000004">
      <c r="B30" s="70"/>
      <c r="C30" s="45"/>
      <c r="D30" s="45"/>
      <c r="E30" s="45"/>
      <c r="G30" s="9"/>
      <c r="H30" s="14">
        <v>1</v>
      </c>
      <c r="I30" s="12">
        <v>2</v>
      </c>
      <c r="J30" s="14">
        <v>3</v>
      </c>
      <c r="K30" s="12">
        <v>4</v>
      </c>
      <c r="L30" s="14">
        <v>5</v>
      </c>
      <c r="M30" s="14">
        <v>6</v>
      </c>
      <c r="N30" s="7" t="s">
        <v>24</v>
      </c>
    </row>
    <row r="31" spans="2:14" x14ac:dyDescent="0.55000000000000004">
      <c r="B31" s="70"/>
      <c r="C31" s="45"/>
      <c r="D31" s="45"/>
      <c r="E31" s="45"/>
      <c r="G31" s="17" t="s">
        <v>258</v>
      </c>
      <c r="H31" s="178">
        <f>'2b.FCosts'!C27</f>
        <v>8.6275815995646321E-2</v>
      </c>
      <c r="I31" s="178">
        <f>'2b.FCosts'!D27</f>
        <v>0.15549155669031645</v>
      </c>
      <c r="J31" s="178">
        <f>'2b.FCosts'!E27</f>
        <v>0.25738161103584273</v>
      </c>
      <c r="K31" s="178">
        <f>'2b.FCosts'!F27</f>
        <v>0.21516125033113079</v>
      </c>
      <c r="L31" s="178">
        <f>'2b.FCosts'!G27</f>
        <v>0.18180477495245265</v>
      </c>
      <c r="M31" s="178">
        <f>'2b.FCosts'!H27</f>
        <v>0.10388499099461122</v>
      </c>
      <c r="N31" s="71">
        <f>SUM(H31:M31)</f>
        <v>1</v>
      </c>
    </row>
    <row r="32" spans="2:14" x14ac:dyDescent="0.55000000000000004">
      <c r="B32" s="70"/>
      <c r="C32" s="45"/>
      <c r="D32" s="45"/>
      <c r="E32" s="45"/>
      <c r="G32" s="64" t="s">
        <v>29</v>
      </c>
      <c r="H32" s="51">
        <f t="shared" ref="H32:M32" si="6">$J$28*H$31</f>
        <v>14361.74703283342</v>
      </c>
      <c r="I32" s="51">
        <f t="shared" si="6"/>
        <v>25883.619611786584</v>
      </c>
      <c r="J32" s="51">
        <f t="shared" si="6"/>
        <v>42844.562476075931</v>
      </c>
      <c r="K32" s="51">
        <f t="shared" si="6"/>
        <v>35816.426803541093</v>
      </c>
      <c r="L32" s="51">
        <f t="shared" si="6"/>
        <v>30263.801704988724</v>
      </c>
      <c r="M32" s="51">
        <f t="shared" si="6"/>
        <v>17293.026370774314</v>
      </c>
      <c r="N32" s="59">
        <f>SUM(H32:M32)</f>
        <v>166463.18400000007</v>
      </c>
    </row>
    <row r="33" spans="1:13" x14ac:dyDescent="0.55000000000000004">
      <c r="B33" s="70"/>
      <c r="C33" s="45"/>
      <c r="D33" s="45"/>
      <c r="E33" s="45"/>
      <c r="G33" s="23"/>
      <c r="H33" s="57"/>
      <c r="I33" s="57"/>
      <c r="J33" s="57"/>
      <c r="K33" s="57"/>
      <c r="L33" s="57"/>
      <c r="M33" s="58"/>
    </row>
    <row r="34" spans="1:13" x14ac:dyDescent="0.55000000000000004">
      <c r="B34" s="70"/>
      <c r="C34" s="45"/>
      <c r="D34" s="45"/>
      <c r="E34" s="45"/>
      <c r="G34" s="23"/>
      <c r="H34" s="57"/>
      <c r="I34" s="57"/>
      <c r="J34" s="57"/>
      <c r="K34" s="57"/>
      <c r="L34" s="57"/>
      <c r="M34" s="58"/>
    </row>
    <row r="35" spans="1:13" x14ac:dyDescent="0.55000000000000004">
      <c r="B35" s="31" t="s">
        <v>15</v>
      </c>
      <c r="G35" s="31" t="s">
        <v>16</v>
      </c>
      <c r="H35" s="57"/>
      <c r="I35" s="57"/>
      <c r="J35" s="57"/>
      <c r="K35" s="57"/>
      <c r="L35" s="57"/>
      <c r="M35" s="58"/>
    </row>
    <row r="36" spans="1:13" ht="29" x14ac:dyDescent="0.55000000000000004">
      <c r="B36" s="7" t="s">
        <v>11</v>
      </c>
      <c r="C36" s="9"/>
      <c r="D36" s="45"/>
      <c r="E36" s="45"/>
      <c r="F36" s="35" t="s">
        <v>17</v>
      </c>
      <c r="G36" s="7" t="s">
        <v>11</v>
      </c>
      <c r="H36" s="9"/>
      <c r="I36" s="57"/>
      <c r="J36" s="57"/>
      <c r="K36" s="57"/>
      <c r="L36" s="57"/>
      <c r="M36" s="58"/>
    </row>
    <row r="37" spans="1:13" x14ac:dyDescent="0.55000000000000004">
      <c r="B37" s="15" t="s">
        <v>12</v>
      </c>
      <c r="C37" s="63">
        <f>'2b.FCosts'!$C$41</f>
        <v>0</v>
      </c>
      <c r="D37" s="45"/>
      <c r="E37" s="45"/>
      <c r="G37" s="15" t="s">
        <v>131</v>
      </c>
      <c r="H37" s="123">
        <f>C37*$C$3</f>
        <v>0</v>
      </c>
      <c r="I37" s="135" t="s">
        <v>110</v>
      </c>
      <c r="J37" s="57"/>
      <c r="K37" s="57"/>
      <c r="L37" s="57"/>
      <c r="M37" s="58"/>
    </row>
    <row r="40" spans="1:13" ht="20" x14ac:dyDescent="0.6">
      <c r="A40" s="28"/>
      <c r="B40" s="31" t="s">
        <v>15</v>
      </c>
      <c r="G40" s="31" t="s">
        <v>16</v>
      </c>
    </row>
    <row r="41" spans="1:13" ht="54" x14ac:dyDescent="0.55000000000000004">
      <c r="B41" s="32" t="s">
        <v>11</v>
      </c>
      <c r="C41" s="33" t="s">
        <v>27</v>
      </c>
      <c r="D41" s="33" t="s">
        <v>4</v>
      </c>
      <c r="E41" s="34" t="s">
        <v>28</v>
      </c>
      <c r="F41" s="35" t="s">
        <v>17</v>
      </c>
      <c r="G41" s="32" t="s">
        <v>11</v>
      </c>
      <c r="H41" s="33" t="s">
        <v>27</v>
      </c>
      <c r="I41" s="33" t="s">
        <v>4</v>
      </c>
      <c r="J41" s="34" t="s">
        <v>28</v>
      </c>
    </row>
    <row r="42" spans="1:13" ht="17.5" customHeight="1" x14ac:dyDescent="0.55000000000000004">
      <c r="B42" s="16" t="s">
        <v>267</v>
      </c>
      <c r="C42" s="223">
        <f>'2b.FCosts'!C45</f>
        <v>0</v>
      </c>
      <c r="D42" s="223">
        <f>'2b.FCosts'!D45</f>
        <v>0</v>
      </c>
      <c r="E42" s="223">
        <f>'2b.FCosts'!$E$45</f>
        <v>0</v>
      </c>
      <c r="F42" s="35"/>
      <c r="G42" s="16" t="s">
        <v>268</v>
      </c>
      <c r="H42" s="45">
        <f>C42*$C$3</f>
        <v>0</v>
      </c>
      <c r="I42" s="45">
        <f>D42</f>
        <v>0</v>
      </c>
      <c r="J42" s="49">
        <f>H42+I42*'1.Params_8.Sensitivity'!$D$15</f>
        <v>0</v>
      </c>
    </row>
    <row r="43" spans="1:13" x14ac:dyDescent="0.55000000000000004">
      <c r="B43" s="37" t="s">
        <v>14</v>
      </c>
      <c r="C43" s="222">
        <f>'2b.FCosts'!C46</f>
        <v>0</v>
      </c>
      <c r="D43" s="222">
        <f>'2b.FCosts'!D46</f>
        <v>0</v>
      </c>
      <c r="E43" s="222">
        <f>'2b.FCosts'!$E$46</f>
        <v>0</v>
      </c>
      <c r="G43" s="37" t="s">
        <v>269</v>
      </c>
      <c r="H43" s="45">
        <f>C43*$C$3</f>
        <v>0</v>
      </c>
      <c r="I43" s="45">
        <f>D43</f>
        <v>0</v>
      </c>
      <c r="J43" s="49">
        <f>H43+I43*'1.Params_8.Sensitivity'!$D$15</f>
        <v>0</v>
      </c>
    </row>
    <row r="44" spans="1:13" x14ac:dyDescent="0.55000000000000004">
      <c r="B44" s="29" t="s">
        <v>6</v>
      </c>
      <c r="C44" s="222">
        <f>'2b.FCosts'!C47</f>
        <v>0</v>
      </c>
      <c r="D44" s="222">
        <f>'2b.FCosts'!D47</f>
        <v>0</v>
      </c>
      <c r="E44" s="222">
        <f>'2b.FCosts'!$E$47</f>
        <v>0</v>
      </c>
      <c r="G44" s="29" t="s">
        <v>6</v>
      </c>
      <c r="H44" s="45">
        <f>SUM(H45:H46)</f>
        <v>0</v>
      </c>
      <c r="I44" s="45">
        <f t="shared" ref="I44:J44" si="7">SUM(I45:I46)</f>
        <v>0</v>
      </c>
      <c r="J44" s="45">
        <f t="shared" si="7"/>
        <v>0</v>
      </c>
    </row>
    <row r="45" spans="1:13" x14ac:dyDescent="0.55000000000000004">
      <c r="B45" s="29" t="s">
        <v>9</v>
      </c>
      <c r="C45" s="222">
        <f>'2b.FCosts'!C48</f>
        <v>0</v>
      </c>
      <c r="D45" s="222">
        <f>'2b.FCosts'!D48</f>
        <v>0</v>
      </c>
      <c r="E45" s="222">
        <f>'2b.FCosts'!$E$48</f>
        <v>0</v>
      </c>
      <c r="G45" s="29" t="s">
        <v>249</v>
      </c>
      <c r="H45" s="45">
        <f>C45*$C$3</f>
        <v>0</v>
      </c>
      <c r="I45" s="45">
        <f>D45</f>
        <v>0</v>
      </c>
      <c r="J45" s="49">
        <f>H45+I45*'1.Params_8.Sensitivity'!$D$15</f>
        <v>0</v>
      </c>
    </row>
    <row r="46" spans="1:13" x14ac:dyDescent="0.55000000000000004">
      <c r="B46" s="29" t="s">
        <v>10</v>
      </c>
      <c r="C46" s="222">
        <f>'2b.FCosts'!C49</f>
        <v>0</v>
      </c>
      <c r="D46" s="222">
        <f>'2b.FCosts'!D49</f>
        <v>0</v>
      </c>
      <c r="E46" s="222">
        <f>'2b.FCosts'!$E$49</f>
        <v>0</v>
      </c>
      <c r="G46" s="29" t="s">
        <v>271</v>
      </c>
      <c r="H46" s="45">
        <f>C46*$C$4</f>
        <v>0</v>
      </c>
      <c r="I46" s="45">
        <f t="shared" ref="I46:I49" si="8">D46</f>
        <v>0</v>
      </c>
      <c r="J46" s="49">
        <f>H46+I46*'1.Params_8.Sensitivity'!$D$15</f>
        <v>0</v>
      </c>
    </row>
    <row r="47" spans="1:13" x14ac:dyDescent="0.55000000000000004">
      <c r="B47" s="29" t="s">
        <v>13</v>
      </c>
      <c r="C47" s="222">
        <f>'2b.FCosts'!C50</f>
        <v>0</v>
      </c>
      <c r="D47" s="222">
        <f>'2b.FCosts'!D50</f>
        <v>0</v>
      </c>
      <c r="E47" s="222">
        <f>'2b.FCosts'!$E$50</f>
        <v>0</v>
      </c>
      <c r="G47" s="29" t="s">
        <v>270</v>
      </c>
      <c r="H47" s="45">
        <f>C47*$C$3</f>
        <v>0</v>
      </c>
      <c r="I47" s="45">
        <f t="shared" si="8"/>
        <v>0</v>
      </c>
      <c r="J47" s="49">
        <f>H47+I47*'1.Params_8.Sensitivity'!$D$15</f>
        <v>0</v>
      </c>
    </row>
    <row r="48" spans="1:13" x14ac:dyDescent="0.55000000000000004">
      <c r="B48" s="29" t="s">
        <v>8</v>
      </c>
      <c r="C48" s="222">
        <f>'2b.FCosts'!C51</f>
        <v>0</v>
      </c>
      <c r="D48" s="222">
        <f>'2b.FCosts'!D51</f>
        <v>0</v>
      </c>
      <c r="E48" s="222">
        <f>'2b.FCosts'!$E$51</f>
        <v>0</v>
      </c>
      <c r="G48" s="29" t="s">
        <v>252</v>
      </c>
      <c r="H48" s="45">
        <f>C48*$C$3</f>
        <v>0</v>
      </c>
      <c r="I48" s="45">
        <f t="shared" si="8"/>
        <v>0</v>
      </c>
      <c r="J48" s="49">
        <f>H48+I48*'1.Params_8.Sensitivity'!$D$15</f>
        <v>0</v>
      </c>
    </row>
    <row r="49" spans="2:37" x14ac:dyDescent="0.55000000000000004">
      <c r="B49" s="9" t="s">
        <v>161</v>
      </c>
      <c r="C49" s="46">
        <f>'2b.FCosts'!C52</f>
        <v>496</v>
      </c>
      <c r="D49" s="46">
        <f>'2b.FCosts'!D52</f>
        <v>0</v>
      </c>
      <c r="E49" s="46">
        <f>'2b.FCosts'!$E$53</f>
        <v>496</v>
      </c>
      <c r="G49" s="9" t="s">
        <v>161</v>
      </c>
      <c r="H49" s="46">
        <f>C49*$C$3</f>
        <v>431.304347826087</v>
      </c>
      <c r="I49" s="46">
        <f t="shared" si="8"/>
        <v>0</v>
      </c>
      <c r="J49" s="50">
        <f>H49+I49*'1.Params_8.Sensitivity'!$D$15</f>
        <v>431.304347826087</v>
      </c>
    </row>
    <row r="50" spans="2:37" x14ac:dyDescent="0.55000000000000004">
      <c r="B50" s="36" t="s">
        <v>152</v>
      </c>
      <c r="C50" s="46">
        <f>'2b.FCosts'!C53</f>
        <v>496</v>
      </c>
      <c r="D50" s="46">
        <f>'2b.FCosts'!D53</f>
        <v>0</v>
      </c>
      <c r="E50" s="69">
        <f>'2b.FCosts'!$E$53</f>
        <v>496</v>
      </c>
      <c r="G50" s="36" t="s">
        <v>152</v>
      </c>
      <c r="H50" s="50">
        <f>SUM(H42:H44,H47:H49)</f>
        <v>431.304347826087</v>
      </c>
      <c r="I50" s="50">
        <f>SUM(I42:I44,I47:I49)</f>
        <v>0</v>
      </c>
      <c r="J50" s="123">
        <f>SUM(J42:J44,J47:J49)</f>
        <v>431.304347826087</v>
      </c>
      <c r="K50" s="135" t="s">
        <v>110</v>
      </c>
    </row>
    <row r="51" spans="2:37" x14ac:dyDescent="0.55000000000000004">
      <c r="C51" s="38"/>
      <c r="D51" s="38"/>
      <c r="E51" s="38"/>
    </row>
    <row r="52" spans="2:37" x14ac:dyDescent="0.55000000000000004">
      <c r="G52" s="9"/>
      <c r="H52" s="65">
        <v>1</v>
      </c>
      <c r="I52" s="7">
        <v>2</v>
      </c>
      <c r="J52" s="65">
        <v>3</v>
      </c>
      <c r="K52" s="7">
        <v>4</v>
      </c>
      <c r="L52" s="65">
        <v>5</v>
      </c>
      <c r="M52" s="7">
        <v>6</v>
      </c>
      <c r="N52" s="85">
        <v>7</v>
      </c>
      <c r="O52" s="84">
        <v>8</v>
      </c>
      <c r="P52" s="85">
        <v>9</v>
      </c>
      <c r="Q52" s="84">
        <v>10</v>
      </c>
      <c r="R52" s="85">
        <v>11</v>
      </c>
      <c r="S52" s="84">
        <v>12</v>
      </c>
      <c r="T52" s="85">
        <v>13</v>
      </c>
      <c r="U52" s="84">
        <v>14</v>
      </c>
      <c r="V52" s="85">
        <v>15</v>
      </c>
      <c r="W52" s="84">
        <v>16</v>
      </c>
      <c r="X52" s="85">
        <v>17</v>
      </c>
      <c r="Y52" s="84">
        <v>18</v>
      </c>
      <c r="Z52" s="85">
        <v>19</v>
      </c>
      <c r="AA52" s="84">
        <v>20</v>
      </c>
      <c r="AB52" s="85">
        <v>21</v>
      </c>
      <c r="AC52" s="84">
        <v>22</v>
      </c>
      <c r="AD52" s="85">
        <v>23</v>
      </c>
      <c r="AE52" s="84">
        <v>24</v>
      </c>
      <c r="AF52" s="85">
        <v>25</v>
      </c>
      <c r="AG52" s="84">
        <v>26</v>
      </c>
      <c r="AH52" s="85">
        <v>27</v>
      </c>
      <c r="AI52" s="84">
        <v>28</v>
      </c>
      <c r="AJ52" s="85">
        <v>29</v>
      </c>
      <c r="AK52" s="84">
        <v>30</v>
      </c>
    </row>
    <row r="53" spans="2:37" x14ac:dyDescent="0.55000000000000004">
      <c r="G53" s="17" t="s">
        <v>264</v>
      </c>
      <c r="H53" s="67">
        <f>'2b.FCosts'!C57</f>
        <v>0</v>
      </c>
      <c r="I53" s="67">
        <f>'2b.FCosts'!D57</f>
        <v>0</v>
      </c>
      <c r="J53" s="67">
        <f>'2b.FCosts'!E57</f>
        <v>0</v>
      </c>
      <c r="K53" s="221">
        <f>'2b.FCosts'!F57</f>
        <v>0.2142</v>
      </c>
      <c r="L53" s="221">
        <f>'2b.FCosts'!G57</f>
        <v>0.25700000000000001</v>
      </c>
      <c r="M53" s="221">
        <f>'2b.FCosts'!H57</f>
        <v>0.50470000000000004</v>
      </c>
      <c r="N53" s="67">
        <f>'2b.FCosts'!I57</f>
        <v>1</v>
      </c>
      <c r="O53" s="67">
        <f>'2b.FCosts'!J57</f>
        <v>1</v>
      </c>
      <c r="P53" s="67">
        <f>'2b.FCosts'!K57</f>
        <v>1</v>
      </c>
      <c r="Q53" s="67">
        <f>'2b.FCosts'!L57</f>
        <v>1</v>
      </c>
      <c r="R53" s="67">
        <f>'2b.FCosts'!M57</f>
        <v>1</v>
      </c>
      <c r="S53" s="67">
        <f>'2b.FCosts'!N57</f>
        <v>1</v>
      </c>
      <c r="T53" s="67">
        <f>'2b.FCosts'!O57</f>
        <v>1</v>
      </c>
      <c r="U53" s="67">
        <f>'2b.FCosts'!P57</f>
        <v>1</v>
      </c>
      <c r="V53" s="67">
        <f>'2b.FCosts'!Q57</f>
        <v>1</v>
      </c>
      <c r="W53" s="67">
        <f>'2b.FCosts'!R57</f>
        <v>1</v>
      </c>
      <c r="X53" s="67">
        <f>'2b.FCosts'!S57</f>
        <v>1</v>
      </c>
      <c r="Y53" s="67">
        <f>'2b.FCosts'!T57</f>
        <v>1</v>
      </c>
      <c r="Z53" s="67">
        <f>'2b.FCosts'!U57</f>
        <v>1</v>
      </c>
      <c r="AA53" s="67">
        <f>'2b.FCosts'!V57</f>
        <v>1</v>
      </c>
      <c r="AB53" s="67">
        <f>'2b.FCosts'!W57</f>
        <v>1</v>
      </c>
      <c r="AC53" s="67">
        <f>'2b.FCosts'!X57</f>
        <v>1</v>
      </c>
      <c r="AD53" s="67">
        <f>'2b.FCosts'!Y57</f>
        <v>1</v>
      </c>
      <c r="AE53" s="67">
        <f>'2b.FCosts'!Z57</f>
        <v>1</v>
      </c>
      <c r="AF53" s="67">
        <f>'2b.FCosts'!AA57</f>
        <v>1</v>
      </c>
      <c r="AG53" s="67">
        <f>'2b.FCosts'!AB57</f>
        <v>1</v>
      </c>
      <c r="AH53" s="67">
        <f>'2b.FCosts'!AC57</f>
        <v>1</v>
      </c>
      <c r="AI53" s="67">
        <f>'2b.FCosts'!AD57</f>
        <v>1</v>
      </c>
      <c r="AJ53" s="67">
        <f>'2b.FCosts'!AE57</f>
        <v>1</v>
      </c>
      <c r="AK53" s="67">
        <f>'2b.FCosts'!AF57</f>
        <v>1</v>
      </c>
    </row>
    <row r="54" spans="2:37" x14ac:dyDescent="0.55000000000000004">
      <c r="G54" s="64" t="s">
        <v>153</v>
      </c>
      <c r="H54" s="68">
        <f t="shared" ref="H54:J54" si="9">$J$50*H$53</f>
        <v>0</v>
      </c>
      <c r="I54" s="68">
        <f t="shared" si="9"/>
        <v>0</v>
      </c>
      <c r="J54" s="68">
        <f t="shared" si="9"/>
        <v>0</v>
      </c>
      <c r="K54" s="68">
        <f t="shared" ref="K54:L54" si="10">$J$50*K$53</f>
        <v>92.385391304347834</v>
      </c>
      <c r="L54" s="68">
        <f t="shared" si="10"/>
        <v>110.84521739130436</v>
      </c>
      <c r="M54" s="68">
        <f>$J$50*M$53</f>
        <v>217.67930434782613</v>
      </c>
      <c r="N54" s="68">
        <f t="shared" ref="N54:AK54" si="11">$J$50*N$53</f>
        <v>431.304347826087</v>
      </c>
      <c r="O54" s="68">
        <f t="shared" si="11"/>
        <v>431.304347826087</v>
      </c>
      <c r="P54" s="68">
        <f t="shared" si="11"/>
        <v>431.304347826087</v>
      </c>
      <c r="Q54" s="68">
        <f t="shared" si="11"/>
        <v>431.304347826087</v>
      </c>
      <c r="R54" s="68">
        <f t="shared" si="11"/>
        <v>431.304347826087</v>
      </c>
      <c r="S54" s="68">
        <f t="shared" si="11"/>
        <v>431.304347826087</v>
      </c>
      <c r="T54" s="68">
        <f t="shared" si="11"/>
        <v>431.304347826087</v>
      </c>
      <c r="U54" s="68">
        <f t="shared" si="11"/>
        <v>431.304347826087</v>
      </c>
      <c r="V54" s="68">
        <f t="shared" si="11"/>
        <v>431.304347826087</v>
      </c>
      <c r="W54" s="68">
        <f t="shared" si="11"/>
        <v>431.304347826087</v>
      </c>
      <c r="X54" s="68">
        <f t="shared" si="11"/>
        <v>431.304347826087</v>
      </c>
      <c r="Y54" s="68">
        <f t="shared" si="11"/>
        <v>431.304347826087</v>
      </c>
      <c r="Z54" s="68">
        <f t="shared" si="11"/>
        <v>431.304347826087</v>
      </c>
      <c r="AA54" s="68">
        <f t="shared" si="11"/>
        <v>431.304347826087</v>
      </c>
      <c r="AB54" s="68">
        <f t="shared" si="11"/>
        <v>431.304347826087</v>
      </c>
      <c r="AC54" s="68">
        <f t="shared" si="11"/>
        <v>431.304347826087</v>
      </c>
      <c r="AD54" s="68">
        <f t="shared" si="11"/>
        <v>431.304347826087</v>
      </c>
      <c r="AE54" s="68">
        <f t="shared" si="11"/>
        <v>431.304347826087</v>
      </c>
      <c r="AF54" s="68">
        <f t="shared" si="11"/>
        <v>431.304347826087</v>
      </c>
      <c r="AG54" s="68">
        <f t="shared" si="11"/>
        <v>431.304347826087</v>
      </c>
      <c r="AH54" s="68">
        <f t="shared" si="11"/>
        <v>431.304347826087</v>
      </c>
      <c r="AI54" s="68">
        <f t="shared" si="11"/>
        <v>431.304347826087</v>
      </c>
      <c r="AJ54" s="68">
        <f t="shared" si="11"/>
        <v>431.304347826087</v>
      </c>
      <c r="AK54" s="68">
        <f t="shared" si="11"/>
        <v>431.304347826087</v>
      </c>
    </row>
  </sheetData>
  <sheetProtection sheet="1" objects="1" scenarios="1"/>
  <phoneticPr fontId="4"/>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AB826-2F8F-4B0A-95F0-F4C3BBC97FA3}">
  <sheetPr codeName="Sheet9">
    <tabColor theme="5" tint="0.59999389629810485"/>
  </sheetPr>
  <dimension ref="A1:AI75"/>
  <sheetViews>
    <sheetView zoomScale="80" zoomScaleNormal="80" workbookViewId="0">
      <pane xSplit="1" ySplit="1" topLeftCell="B2" activePane="bottomRight" state="frozen"/>
      <selection pane="topRight" activeCell="B1" sqref="B1"/>
      <selection pane="bottomLeft" activeCell="A2" sqref="A2"/>
      <selection pane="bottomRight" activeCell="B18" sqref="B18"/>
    </sheetView>
  </sheetViews>
  <sheetFormatPr defaultRowHeight="18" x14ac:dyDescent="0.55000000000000004"/>
  <cols>
    <col min="1" max="1" width="2.58203125" customWidth="1"/>
    <col min="2" max="2" width="67.4140625" customWidth="1"/>
    <col min="3" max="3" width="10.75" customWidth="1"/>
    <col min="4" max="4" width="11.08203125" customWidth="1"/>
    <col min="5" max="5" width="67.4140625" customWidth="1"/>
    <col min="6" max="6" width="11.4140625" customWidth="1"/>
    <col min="7" max="7" width="11.08203125" customWidth="1"/>
    <col min="8" max="31" width="10.4140625" customWidth="1"/>
  </cols>
  <sheetData>
    <row r="1" spans="1:7" s="3" customFormat="1" ht="20" x14ac:dyDescent="0.6">
      <c r="A1" s="5" t="str">
        <f>"Economic Benefits ("&amp;MID('0.Contents'!A1,20,(LEN('0.Contents'!A1)-20))&amp;")"</f>
        <v>Economic Benefits (Power Transmission)</v>
      </c>
    </row>
    <row r="2" spans="1:7" ht="20" x14ac:dyDescent="0.6">
      <c r="A2" s="6"/>
      <c r="E2" s="10" t="s">
        <v>37</v>
      </c>
    </row>
    <row r="3" spans="1:7" x14ac:dyDescent="0.55000000000000004">
      <c r="E3" s="7" t="s">
        <v>11</v>
      </c>
      <c r="F3" s="17"/>
    </row>
    <row r="4" spans="1:7" x14ac:dyDescent="0.55000000000000004">
      <c r="E4" s="225" t="s">
        <v>173</v>
      </c>
      <c r="F4" s="17"/>
    </row>
    <row r="5" spans="1:7" x14ac:dyDescent="0.55000000000000004">
      <c r="E5" s="16" t="str">
        <f>_xlfn.CONCAT("  ", '1.Params_8.Sensitivity'!$G$10, " (a)")</f>
        <v xml:space="preserve">  Wheeled Energy/Additional Supply of Electricity to Meet Demand (a)</v>
      </c>
      <c r="F5" s="39">
        <f>'1.Params_8.Sensitivity'!$I$10*(1-'1.Params_8.Sensitivity'!$I$11)</f>
        <v>6520.7290779869136</v>
      </c>
      <c r="G5" s="18"/>
    </row>
    <row r="6" spans="1:7" x14ac:dyDescent="0.55000000000000004">
      <c r="E6" s="16" t="str">
        <f>_xlfn.CONCAT("  ", '1.Params_8.Sensitivity'!$G$15, " (b)")</f>
        <v xml:space="preserve">  Average Sales Rate for Residential (b)</v>
      </c>
      <c r="F6" s="86">
        <f>'1.Params_8.Sensitivity'!$I$15</f>
        <v>7.49</v>
      </c>
      <c r="G6" s="18"/>
    </row>
    <row r="7" spans="1:7" x14ac:dyDescent="0.55000000000000004">
      <c r="E7" s="226" t="str">
        <f>_xlfn.CONCAT("  ", '1.Params_8.Sensitivity'!$G$17, " (c)")</f>
        <v xml:space="preserve">  Cost of Electricity Produced Privately for Residential (c)</v>
      </c>
      <c r="F7" s="174">
        <f>'1.Params_8.Sensitivity'!$I$17</f>
        <v>12</v>
      </c>
      <c r="G7" s="18"/>
    </row>
    <row r="8" spans="1:7" x14ac:dyDescent="0.55000000000000004">
      <c r="E8" s="218" t="s">
        <v>179</v>
      </c>
      <c r="F8" s="46">
        <f>0.5*F5*(F7-F6)*10^6/10^5</f>
        <v>147042.4407086049</v>
      </c>
      <c r="G8" s="135" t="s">
        <v>110</v>
      </c>
    </row>
    <row r="9" spans="1:7" x14ac:dyDescent="0.55000000000000004">
      <c r="E9" s="224" t="s">
        <v>174</v>
      </c>
      <c r="F9" s="227"/>
      <c r="G9" s="18"/>
    </row>
    <row r="10" spans="1:7" x14ac:dyDescent="0.55000000000000004">
      <c r="E10" s="16" t="str">
        <f>_xlfn.CONCAT("  ", '1.Params_8.Sensitivity'!$G$10, " (a)")</f>
        <v xml:space="preserve">  Wheeled Energy/Additional Supply of Electricity to Meet Demand (a)</v>
      </c>
      <c r="F10" s="39">
        <f>'1.Params_8.Sensitivity'!$I$10*'1.Params_8.Sensitivity'!$I$11</f>
        <v>4200.6275119290895</v>
      </c>
      <c r="G10" s="18"/>
    </row>
    <row r="11" spans="1:7" x14ac:dyDescent="0.55000000000000004">
      <c r="E11" s="16" t="str">
        <f>_xlfn.CONCAT("  ", '1.Params_8.Sensitivity'!$G$15, " (b)")</f>
        <v xml:space="preserve">  Average Sales Rate for Residential (b)</v>
      </c>
      <c r="F11" s="86">
        <f>'1.Params_8.Sensitivity'!$I$16</f>
        <v>9.8000000000000007</v>
      </c>
      <c r="G11" s="18"/>
    </row>
    <row r="12" spans="1:7" x14ac:dyDescent="0.55000000000000004">
      <c r="E12" s="226" t="str">
        <f>_xlfn.CONCAT("  ", '1.Params_8.Sensitivity'!$G$18, " (c)")</f>
        <v xml:space="preserve">  Cost of Electricity Produced Privately for Commercial (c)</v>
      </c>
      <c r="F12" s="174">
        <f>'1.Params_8.Sensitivity'!$I$18</f>
        <v>12</v>
      </c>
      <c r="G12" s="18"/>
    </row>
    <row r="13" spans="1:7" x14ac:dyDescent="0.55000000000000004">
      <c r="E13" s="218" t="s">
        <v>180</v>
      </c>
      <c r="F13" s="46">
        <f>0.5*F10*(F12-F11)*10^6/10^5</f>
        <v>46206.902631219971</v>
      </c>
      <c r="G13" s="135" t="s">
        <v>110</v>
      </c>
    </row>
    <row r="14" spans="1:7" x14ac:dyDescent="0.55000000000000004">
      <c r="E14" s="15" t="s">
        <v>265</v>
      </c>
      <c r="F14" s="63">
        <f>F8+F13</f>
        <v>193249.34333982487</v>
      </c>
      <c r="G14" s="135" t="s">
        <v>110</v>
      </c>
    </row>
    <row r="15" spans="1:7" x14ac:dyDescent="0.55000000000000004">
      <c r="E15" s="4" t="str">
        <f>"Indirect Benefits Attributable to Generation/Distribution ("&amp;TEXT(1-'1.Params_8.Sensitivity'!I24,"0.0%")&amp;")"</f>
        <v>Indirect Benefits Attributable to Generation/Distribution (66.7%)</v>
      </c>
      <c r="F15" s="58">
        <f>F14*(1-'1.Params_8.Sensitivity'!$I$24)</f>
        <v>128832.89555988327</v>
      </c>
      <c r="G15" s="135"/>
    </row>
    <row r="16" spans="1:7" x14ac:dyDescent="0.55000000000000004">
      <c r="E16" s="15" t="s">
        <v>266</v>
      </c>
      <c r="F16" s="123">
        <f>F14-F15</f>
        <v>64416.447779941605</v>
      </c>
      <c r="G16" s="135" t="s">
        <v>110</v>
      </c>
    </row>
    <row r="18" spans="5:35" x14ac:dyDescent="0.55000000000000004">
      <c r="E18" s="9"/>
      <c r="F18" s="65">
        <v>1</v>
      </c>
      <c r="G18" s="7">
        <v>2</v>
      </c>
      <c r="H18" s="65">
        <v>3</v>
      </c>
      <c r="I18" s="7">
        <v>4</v>
      </c>
      <c r="J18" s="65">
        <v>5</v>
      </c>
      <c r="K18" s="7">
        <v>6</v>
      </c>
    </row>
    <row r="19" spans="5:35" x14ac:dyDescent="0.55000000000000004">
      <c r="E19" s="17" t="s">
        <v>262</v>
      </c>
      <c r="F19" s="67">
        <f>'3.FBenefits'!C$22</f>
        <v>0</v>
      </c>
      <c r="G19" s="67">
        <f>'3.FBenefits'!D$22</f>
        <v>0</v>
      </c>
      <c r="H19" s="67">
        <f>'3.FBenefits'!E$22</f>
        <v>0</v>
      </c>
      <c r="I19" s="221">
        <f>'3.FBenefits'!F$22</f>
        <v>0.2142</v>
      </c>
      <c r="J19" s="221">
        <f>'3.FBenefits'!G$22</f>
        <v>0.25700000000000001</v>
      </c>
      <c r="K19" s="221">
        <f>'3.FBenefits'!H$22</f>
        <v>0.50470000000000004</v>
      </c>
    </row>
    <row r="20" spans="5:35" x14ac:dyDescent="0.55000000000000004">
      <c r="E20" s="64" t="s">
        <v>39</v>
      </c>
      <c r="F20" s="66">
        <f t="shared" ref="F20:K20" si="0">$F$16*F$19</f>
        <v>0</v>
      </c>
      <c r="G20" s="66">
        <f t="shared" si="0"/>
        <v>0</v>
      </c>
      <c r="H20" s="66">
        <f t="shared" si="0"/>
        <v>0</v>
      </c>
      <c r="I20" s="66">
        <f t="shared" si="0"/>
        <v>13798.003114463492</v>
      </c>
      <c r="J20" s="66">
        <f t="shared" si="0"/>
        <v>16555.027079444993</v>
      </c>
      <c r="K20" s="66">
        <f t="shared" si="0"/>
        <v>32510.981194536529</v>
      </c>
    </row>
    <row r="22" spans="5:35" x14ac:dyDescent="0.55000000000000004">
      <c r="E22" s="9"/>
      <c r="F22" s="65">
        <v>1</v>
      </c>
      <c r="G22" s="7">
        <v>2</v>
      </c>
      <c r="H22" s="65">
        <v>3</v>
      </c>
      <c r="I22" s="7">
        <v>4</v>
      </c>
      <c r="J22" s="65">
        <v>5</v>
      </c>
      <c r="K22" s="7">
        <v>6</v>
      </c>
      <c r="L22" s="85">
        <v>7</v>
      </c>
      <c r="M22" s="84">
        <v>8</v>
      </c>
      <c r="N22" s="85">
        <v>9</v>
      </c>
      <c r="O22" s="84">
        <v>10</v>
      </c>
      <c r="P22" s="85">
        <v>11</v>
      </c>
      <c r="Q22" s="84">
        <v>12</v>
      </c>
      <c r="R22" s="85">
        <v>13</v>
      </c>
      <c r="S22" s="84">
        <v>14</v>
      </c>
      <c r="T22" s="85">
        <v>15</v>
      </c>
      <c r="U22" s="84">
        <v>16</v>
      </c>
      <c r="V22" s="85">
        <v>17</v>
      </c>
      <c r="W22" s="84">
        <v>18</v>
      </c>
      <c r="X22" s="85">
        <v>19</v>
      </c>
      <c r="Y22" s="84">
        <v>20</v>
      </c>
      <c r="Z22" s="85">
        <v>21</v>
      </c>
      <c r="AA22" s="84">
        <v>22</v>
      </c>
      <c r="AB22" s="85">
        <v>23</v>
      </c>
      <c r="AC22" s="84">
        <v>24</v>
      </c>
      <c r="AD22" s="85">
        <v>25</v>
      </c>
      <c r="AE22" s="84">
        <v>26</v>
      </c>
      <c r="AF22" s="85">
        <v>27</v>
      </c>
      <c r="AG22" s="84">
        <v>28</v>
      </c>
      <c r="AH22" s="85">
        <v>29</v>
      </c>
      <c r="AI22" s="84">
        <v>30</v>
      </c>
    </row>
    <row r="23" spans="5:35" x14ac:dyDescent="0.55000000000000004">
      <c r="E23" s="4" t="s">
        <v>263</v>
      </c>
      <c r="F23" s="67"/>
      <c r="G23" s="67"/>
      <c r="H23" s="67"/>
      <c r="I23" s="67"/>
      <c r="J23" s="67"/>
      <c r="K23" s="67"/>
      <c r="L23" s="67">
        <f>'3.FBenefits'!I$26</f>
        <v>1</v>
      </c>
      <c r="M23" s="67">
        <f>'3.FBenefits'!J$26</f>
        <v>1</v>
      </c>
      <c r="N23" s="67">
        <f>'3.FBenefits'!K$26</f>
        <v>1</v>
      </c>
      <c r="O23" s="67">
        <f>'3.FBenefits'!L$26</f>
        <v>1</v>
      </c>
      <c r="P23" s="67">
        <f>'3.FBenefits'!M$26</f>
        <v>1</v>
      </c>
      <c r="Q23" s="67">
        <f>'3.FBenefits'!N$26</f>
        <v>1</v>
      </c>
      <c r="R23" s="67">
        <f>'3.FBenefits'!O$26</f>
        <v>1</v>
      </c>
      <c r="S23" s="67">
        <f>'3.FBenefits'!P$26</f>
        <v>1</v>
      </c>
      <c r="T23" s="67">
        <f>'3.FBenefits'!Q$26</f>
        <v>1</v>
      </c>
      <c r="U23" s="67">
        <f>'3.FBenefits'!R$26</f>
        <v>1</v>
      </c>
      <c r="V23" s="67">
        <f>'3.FBenefits'!S$26</f>
        <v>1</v>
      </c>
      <c r="W23" s="67">
        <f>'3.FBenefits'!T$26</f>
        <v>1</v>
      </c>
      <c r="X23" s="67">
        <f>'3.FBenefits'!U$26</f>
        <v>1</v>
      </c>
      <c r="Y23" s="67">
        <f>'3.FBenefits'!V$26</f>
        <v>1</v>
      </c>
      <c r="Z23" s="67">
        <f>'3.FBenefits'!W$26</f>
        <v>1</v>
      </c>
      <c r="AA23" s="67">
        <f>'3.FBenefits'!X$26</f>
        <v>1</v>
      </c>
      <c r="AB23" s="67">
        <f>'3.FBenefits'!Y$26</f>
        <v>1</v>
      </c>
      <c r="AC23" s="67">
        <f>'3.FBenefits'!Z$26</f>
        <v>1</v>
      </c>
      <c r="AD23" s="67">
        <f>'3.FBenefits'!AA$26</f>
        <v>1</v>
      </c>
      <c r="AE23" s="67">
        <f>'3.FBenefits'!AB$26</f>
        <v>1</v>
      </c>
      <c r="AF23" s="67">
        <f>'3.FBenefits'!AC$26</f>
        <v>1</v>
      </c>
      <c r="AG23" s="67">
        <f>'3.FBenefits'!AD$26</f>
        <v>1</v>
      </c>
      <c r="AH23" s="67">
        <f>'3.FBenefits'!AE$26</f>
        <v>1</v>
      </c>
      <c r="AI23" s="67">
        <f>'3.FBenefits'!AF$26</f>
        <v>1</v>
      </c>
    </row>
    <row r="24" spans="5:35" x14ac:dyDescent="0.55000000000000004">
      <c r="E24" s="64" t="s">
        <v>145</v>
      </c>
      <c r="F24" s="280" t="s">
        <v>219</v>
      </c>
      <c r="G24" s="280" t="s">
        <v>219</v>
      </c>
      <c r="H24" s="280" t="s">
        <v>219</v>
      </c>
      <c r="I24" s="280" t="s">
        <v>219</v>
      </c>
      <c r="J24" s="280" t="s">
        <v>219</v>
      </c>
      <c r="K24" s="280" t="s">
        <v>219</v>
      </c>
      <c r="L24" s="68">
        <f t="shared" ref="L24:AI24" si="1">$F$16*L$23</f>
        <v>64416.447779941605</v>
      </c>
      <c r="M24" s="68">
        <f t="shared" si="1"/>
        <v>64416.447779941605</v>
      </c>
      <c r="N24" s="68">
        <f t="shared" si="1"/>
        <v>64416.447779941605</v>
      </c>
      <c r="O24" s="68">
        <f t="shared" si="1"/>
        <v>64416.447779941605</v>
      </c>
      <c r="P24" s="68">
        <f t="shared" si="1"/>
        <v>64416.447779941605</v>
      </c>
      <c r="Q24" s="68">
        <f t="shared" si="1"/>
        <v>64416.447779941605</v>
      </c>
      <c r="R24" s="68">
        <f t="shared" si="1"/>
        <v>64416.447779941605</v>
      </c>
      <c r="S24" s="68">
        <f t="shared" si="1"/>
        <v>64416.447779941605</v>
      </c>
      <c r="T24" s="68">
        <f t="shared" si="1"/>
        <v>64416.447779941605</v>
      </c>
      <c r="U24" s="68">
        <f t="shared" si="1"/>
        <v>64416.447779941605</v>
      </c>
      <c r="V24" s="68">
        <f t="shared" si="1"/>
        <v>64416.447779941605</v>
      </c>
      <c r="W24" s="68">
        <f t="shared" si="1"/>
        <v>64416.447779941605</v>
      </c>
      <c r="X24" s="68">
        <f t="shared" si="1"/>
        <v>64416.447779941605</v>
      </c>
      <c r="Y24" s="68">
        <f t="shared" si="1"/>
        <v>64416.447779941605</v>
      </c>
      <c r="Z24" s="68">
        <f t="shared" si="1"/>
        <v>64416.447779941605</v>
      </c>
      <c r="AA24" s="68">
        <f t="shared" si="1"/>
        <v>64416.447779941605</v>
      </c>
      <c r="AB24" s="68">
        <f t="shared" si="1"/>
        <v>64416.447779941605</v>
      </c>
      <c r="AC24" s="68">
        <f t="shared" si="1"/>
        <v>64416.447779941605</v>
      </c>
      <c r="AD24" s="68">
        <f t="shared" si="1"/>
        <v>64416.447779941605</v>
      </c>
      <c r="AE24" s="68">
        <f t="shared" si="1"/>
        <v>64416.447779941605</v>
      </c>
      <c r="AF24" s="68">
        <f t="shared" si="1"/>
        <v>64416.447779941605</v>
      </c>
      <c r="AG24" s="68">
        <f t="shared" si="1"/>
        <v>64416.447779941605</v>
      </c>
      <c r="AH24" s="68">
        <f t="shared" si="1"/>
        <v>64416.447779941605</v>
      </c>
      <c r="AI24" s="68">
        <f t="shared" si="1"/>
        <v>64416.447779941605</v>
      </c>
    </row>
    <row r="27" spans="5:35" x14ac:dyDescent="0.55000000000000004">
      <c r="E27" s="10" t="s">
        <v>38</v>
      </c>
    </row>
    <row r="28" spans="5:35" x14ac:dyDescent="0.55000000000000004">
      <c r="E28" s="7" t="s">
        <v>11</v>
      </c>
      <c r="F28" s="9"/>
    </row>
    <row r="29" spans="5:35" x14ac:dyDescent="0.55000000000000004">
      <c r="E29" s="16" t="str">
        <f>_xlfn.CONCAT("  ", '1.Params_8.Sensitivity'!G20, " (c)")</f>
        <v xml:space="preserve">  Existing Total Customers (c)</v>
      </c>
      <c r="F29" s="229">
        <f>'1.Params_8.Sensitivity'!I20</f>
        <v>1332805</v>
      </c>
    </row>
    <row r="30" spans="5:35" x14ac:dyDescent="0.55000000000000004">
      <c r="E30" s="4" t="str">
        <f>_xlfn.CONCAT("  ", '1.Params_8.Sensitivity'!G21, " (d)")</f>
        <v xml:space="preserve">  Percent of Existing Total Customers who Benefit from Cost Savings (d)</v>
      </c>
      <c r="F30" s="230">
        <f>'1.Params_8.Sensitivity'!I21</f>
        <v>0.01</v>
      </c>
    </row>
    <row r="31" spans="5:35" x14ac:dyDescent="0.55000000000000004">
      <c r="E31" s="16" t="str">
        <f>_xlfn.CONCAT("  ", '1.Params_8.Sensitivity'!G22, " (e)")</f>
        <v xml:space="preserve">  Avg. Cost Savings per Customer (e)</v>
      </c>
      <c r="F31" s="228">
        <f>'1.Params_8.Sensitivity'!I22</f>
        <v>1000</v>
      </c>
    </row>
    <row r="32" spans="5:35" x14ac:dyDescent="0.55000000000000004">
      <c r="E32" s="15" t="s">
        <v>278</v>
      </c>
      <c r="F32" s="63">
        <f>F30*F29*F31/10^5</f>
        <v>133.28050000000002</v>
      </c>
      <c r="G32" s="135" t="s">
        <v>110</v>
      </c>
    </row>
    <row r="33" spans="2:35" x14ac:dyDescent="0.55000000000000004">
      <c r="E33" s="232" t="str">
        <f>E15</f>
        <v>Indirect Benefits Attributable to Generation/Distribution (66.7%)</v>
      </c>
      <c r="F33" s="58">
        <f>F32*(1-'1.Params_8.Sensitivity'!$I$24)</f>
        <v>88.853666666666683</v>
      </c>
      <c r="G33" s="135"/>
    </row>
    <row r="34" spans="2:35" x14ac:dyDescent="0.55000000000000004">
      <c r="E34" s="15" t="s">
        <v>282</v>
      </c>
      <c r="F34" s="123">
        <f>F32-F33</f>
        <v>44.426833333333335</v>
      </c>
      <c r="G34" s="135" t="s">
        <v>110</v>
      </c>
    </row>
    <row r="36" spans="2:35" x14ac:dyDescent="0.55000000000000004">
      <c r="E36" s="9"/>
      <c r="F36" s="65">
        <v>1</v>
      </c>
      <c r="G36" s="7">
        <v>2</v>
      </c>
      <c r="H36" s="65">
        <v>3</v>
      </c>
      <c r="I36" s="7">
        <v>4</v>
      </c>
      <c r="J36" s="65">
        <v>5</v>
      </c>
      <c r="K36" s="65">
        <v>5</v>
      </c>
    </row>
    <row r="37" spans="2:35" x14ac:dyDescent="0.55000000000000004">
      <c r="E37" s="17" t="s">
        <v>35</v>
      </c>
      <c r="F37" s="67">
        <f>'3.FBenefits'!C$22</f>
        <v>0</v>
      </c>
      <c r="G37" s="67">
        <f>'3.FBenefits'!D$22</f>
        <v>0</v>
      </c>
      <c r="H37" s="67">
        <f>'3.FBenefits'!E$22</f>
        <v>0</v>
      </c>
      <c r="I37" s="221">
        <f>'3.FBenefits'!F$22</f>
        <v>0.2142</v>
      </c>
      <c r="J37" s="221">
        <f>'3.FBenefits'!G$22</f>
        <v>0.25700000000000001</v>
      </c>
      <c r="K37" s="221">
        <f>'3.FBenefits'!H$22</f>
        <v>0.50470000000000004</v>
      </c>
    </row>
    <row r="38" spans="2:35" x14ac:dyDescent="0.55000000000000004">
      <c r="E38" s="64" t="s">
        <v>36</v>
      </c>
      <c r="F38" s="66">
        <f>$F$34*'6.EBenefits'!F$37</f>
        <v>0</v>
      </c>
      <c r="G38" s="66">
        <f>$F$34*'6.EBenefits'!G$37</f>
        <v>0</v>
      </c>
      <c r="H38" s="66">
        <f>$F$34*'6.EBenefits'!H$37</f>
        <v>0</v>
      </c>
      <c r="I38" s="66">
        <f>$F$34*'6.EBenefits'!I$37</f>
        <v>9.5162277</v>
      </c>
      <c r="J38" s="66">
        <f>$F$34*'6.EBenefits'!J$37</f>
        <v>11.417696166666667</v>
      </c>
      <c r="K38" s="66">
        <f>$F$34*'6.EBenefits'!K$37</f>
        <v>22.422222783333336</v>
      </c>
    </row>
    <row r="40" spans="2:35" x14ac:dyDescent="0.55000000000000004">
      <c r="E40" s="9"/>
      <c r="F40" s="65">
        <v>1</v>
      </c>
      <c r="G40" s="7">
        <v>2</v>
      </c>
      <c r="H40" s="65">
        <v>3</v>
      </c>
      <c r="I40" s="7">
        <v>4</v>
      </c>
      <c r="J40" s="65">
        <v>5</v>
      </c>
      <c r="K40" s="7">
        <v>6</v>
      </c>
      <c r="L40" s="85">
        <v>7</v>
      </c>
      <c r="M40" s="84">
        <v>8</v>
      </c>
      <c r="N40" s="85">
        <v>9</v>
      </c>
      <c r="O40" s="84">
        <v>10</v>
      </c>
      <c r="P40" s="85">
        <v>11</v>
      </c>
      <c r="Q40" s="84">
        <v>12</v>
      </c>
      <c r="R40" s="85">
        <v>13</v>
      </c>
      <c r="S40" s="84">
        <v>14</v>
      </c>
      <c r="T40" s="85">
        <v>15</v>
      </c>
      <c r="U40" s="84">
        <v>16</v>
      </c>
      <c r="V40" s="85">
        <v>17</v>
      </c>
      <c r="W40" s="84">
        <v>18</v>
      </c>
      <c r="X40" s="85">
        <v>19</v>
      </c>
      <c r="Y40" s="84">
        <v>20</v>
      </c>
      <c r="Z40" s="85">
        <v>21</v>
      </c>
      <c r="AA40" s="84">
        <v>22</v>
      </c>
      <c r="AB40" s="85">
        <v>23</v>
      </c>
      <c r="AC40" s="84">
        <v>24</v>
      </c>
      <c r="AD40" s="85">
        <v>25</v>
      </c>
      <c r="AE40" s="84">
        <v>26</v>
      </c>
      <c r="AF40" s="85">
        <v>27</v>
      </c>
      <c r="AG40" s="84">
        <v>28</v>
      </c>
      <c r="AH40" s="85">
        <v>29</v>
      </c>
      <c r="AI40" s="84">
        <v>30</v>
      </c>
    </row>
    <row r="41" spans="2:35" x14ac:dyDescent="0.55000000000000004">
      <c r="E41" s="4" t="s">
        <v>146</v>
      </c>
      <c r="F41" s="67"/>
      <c r="G41" s="67"/>
      <c r="H41" s="67"/>
      <c r="I41" s="67"/>
      <c r="J41" s="67"/>
      <c r="K41" s="67"/>
      <c r="L41" s="67">
        <f>'3.FBenefits'!I$26</f>
        <v>1</v>
      </c>
      <c r="M41" s="67">
        <f>'3.FBenefits'!J$26</f>
        <v>1</v>
      </c>
      <c r="N41" s="67">
        <f>'3.FBenefits'!K$26</f>
        <v>1</v>
      </c>
      <c r="O41" s="67">
        <f>'3.FBenefits'!L$26</f>
        <v>1</v>
      </c>
      <c r="P41" s="67">
        <f>'3.FBenefits'!M$26</f>
        <v>1</v>
      </c>
      <c r="Q41" s="67">
        <f>'3.FBenefits'!N$26</f>
        <v>1</v>
      </c>
      <c r="R41" s="67">
        <f>'3.FBenefits'!O$26</f>
        <v>1</v>
      </c>
      <c r="S41" s="67">
        <f>'3.FBenefits'!P$26</f>
        <v>1</v>
      </c>
      <c r="T41" s="67">
        <f>'3.FBenefits'!Q$26</f>
        <v>1</v>
      </c>
      <c r="U41" s="67">
        <f>'3.FBenefits'!R$26</f>
        <v>1</v>
      </c>
      <c r="V41" s="67">
        <f>'3.FBenefits'!S$26</f>
        <v>1</v>
      </c>
      <c r="W41" s="67">
        <f>'3.FBenefits'!T$26</f>
        <v>1</v>
      </c>
      <c r="X41" s="67">
        <f>'3.FBenefits'!U$26</f>
        <v>1</v>
      </c>
      <c r="Y41" s="67">
        <f>'3.FBenefits'!V$26</f>
        <v>1</v>
      </c>
      <c r="Z41" s="67">
        <f>'3.FBenefits'!W$26</f>
        <v>1</v>
      </c>
      <c r="AA41" s="67">
        <f>'3.FBenefits'!X$26</f>
        <v>1</v>
      </c>
      <c r="AB41" s="67">
        <f>'3.FBenefits'!Y$26</f>
        <v>1</v>
      </c>
      <c r="AC41" s="67">
        <f>'3.FBenefits'!Z$26</f>
        <v>1</v>
      </c>
      <c r="AD41" s="67">
        <f>'3.FBenefits'!AA$26</f>
        <v>1</v>
      </c>
      <c r="AE41" s="67">
        <f>'3.FBenefits'!AB$26</f>
        <v>1</v>
      </c>
      <c r="AF41" s="67">
        <f>'3.FBenefits'!AC$26</f>
        <v>1</v>
      </c>
      <c r="AG41" s="67">
        <f>'3.FBenefits'!AD$26</f>
        <v>1</v>
      </c>
      <c r="AH41" s="67">
        <f>'3.FBenefits'!AE$26</f>
        <v>1</v>
      </c>
      <c r="AI41" s="67">
        <f>'3.FBenefits'!AF$26</f>
        <v>1</v>
      </c>
    </row>
    <row r="42" spans="2:35" x14ac:dyDescent="0.55000000000000004">
      <c r="E42" s="64" t="s">
        <v>143</v>
      </c>
      <c r="F42" s="280" t="s">
        <v>219</v>
      </c>
      <c r="G42" s="280" t="s">
        <v>219</v>
      </c>
      <c r="H42" s="280" t="s">
        <v>219</v>
      </c>
      <c r="I42" s="280" t="s">
        <v>219</v>
      </c>
      <c r="J42" s="280" t="s">
        <v>219</v>
      </c>
      <c r="K42" s="280" t="s">
        <v>219</v>
      </c>
      <c r="L42" s="68">
        <f t="shared" ref="L42:AI42" si="2">$F$34*L$41</f>
        <v>44.426833333333335</v>
      </c>
      <c r="M42" s="68">
        <f t="shared" si="2"/>
        <v>44.426833333333335</v>
      </c>
      <c r="N42" s="68">
        <f t="shared" si="2"/>
        <v>44.426833333333335</v>
      </c>
      <c r="O42" s="68">
        <f t="shared" si="2"/>
        <v>44.426833333333335</v>
      </c>
      <c r="P42" s="68">
        <f t="shared" si="2"/>
        <v>44.426833333333335</v>
      </c>
      <c r="Q42" s="68">
        <f t="shared" si="2"/>
        <v>44.426833333333335</v>
      </c>
      <c r="R42" s="68">
        <f t="shared" si="2"/>
        <v>44.426833333333335</v>
      </c>
      <c r="S42" s="68">
        <f t="shared" si="2"/>
        <v>44.426833333333335</v>
      </c>
      <c r="T42" s="68">
        <f t="shared" si="2"/>
        <v>44.426833333333335</v>
      </c>
      <c r="U42" s="68">
        <f t="shared" si="2"/>
        <v>44.426833333333335</v>
      </c>
      <c r="V42" s="68">
        <f t="shared" si="2"/>
        <v>44.426833333333335</v>
      </c>
      <c r="W42" s="68">
        <f t="shared" si="2"/>
        <v>44.426833333333335</v>
      </c>
      <c r="X42" s="68">
        <f t="shared" si="2"/>
        <v>44.426833333333335</v>
      </c>
      <c r="Y42" s="68">
        <f t="shared" si="2"/>
        <v>44.426833333333335</v>
      </c>
      <c r="Z42" s="68">
        <f t="shared" si="2"/>
        <v>44.426833333333335</v>
      </c>
      <c r="AA42" s="68">
        <f t="shared" si="2"/>
        <v>44.426833333333335</v>
      </c>
      <c r="AB42" s="68">
        <f t="shared" si="2"/>
        <v>44.426833333333335</v>
      </c>
      <c r="AC42" s="68">
        <f t="shared" si="2"/>
        <v>44.426833333333335</v>
      </c>
      <c r="AD42" s="68">
        <f t="shared" si="2"/>
        <v>44.426833333333335</v>
      </c>
      <c r="AE42" s="68">
        <f t="shared" si="2"/>
        <v>44.426833333333335</v>
      </c>
      <c r="AF42" s="68">
        <f t="shared" si="2"/>
        <v>44.426833333333335</v>
      </c>
      <c r="AG42" s="68">
        <f t="shared" si="2"/>
        <v>44.426833333333335</v>
      </c>
      <c r="AH42" s="68">
        <f t="shared" si="2"/>
        <v>44.426833333333335</v>
      </c>
      <c r="AI42" s="68">
        <f t="shared" si="2"/>
        <v>44.426833333333335</v>
      </c>
    </row>
    <row r="45" spans="2:35" x14ac:dyDescent="0.55000000000000004">
      <c r="B45" s="29" t="s">
        <v>21</v>
      </c>
      <c r="C45" s="30"/>
      <c r="D45" s="25"/>
      <c r="E45" s="25"/>
    </row>
    <row r="46" spans="2:35" x14ac:dyDescent="0.55000000000000004">
      <c r="B46" s="29" t="s">
        <v>280</v>
      </c>
      <c r="C46" s="74">
        <f>1/'1.Params_8.Sensitivity'!$D$8</f>
        <v>0.86956521739130443</v>
      </c>
      <c r="D46" s="25"/>
      <c r="E46" s="25"/>
    </row>
    <row r="47" spans="2:35" x14ac:dyDescent="0.55000000000000004">
      <c r="B47" s="186" t="s">
        <v>33</v>
      </c>
      <c r="C47" s="185">
        <f>1/'1.Params_8.Sensitivity'!$D$9</f>
        <v>0.68965517241379315</v>
      </c>
      <c r="D47" s="25"/>
      <c r="E47" s="25"/>
    </row>
    <row r="48" spans="2:35" x14ac:dyDescent="0.55000000000000004">
      <c r="B48" s="25"/>
      <c r="C48" s="25"/>
      <c r="D48" s="25"/>
      <c r="E48" s="25"/>
    </row>
    <row r="49" spans="2:7" x14ac:dyDescent="0.55000000000000004">
      <c r="B49" s="31" t="s">
        <v>193</v>
      </c>
      <c r="C49" s="25"/>
      <c r="D49" s="25"/>
      <c r="E49" s="31" t="s">
        <v>194</v>
      </c>
      <c r="F49" s="25"/>
      <c r="G49" s="25"/>
    </row>
    <row r="50" spans="2:7" ht="29" x14ac:dyDescent="0.85">
      <c r="B50" s="7" t="s">
        <v>11</v>
      </c>
      <c r="C50" s="9"/>
      <c r="D50" s="249" t="s">
        <v>17</v>
      </c>
      <c r="E50" s="7" t="s">
        <v>11</v>
      </c>
      <c r="F50" s="9"/>
      <c r="G50" s="249"/>
    </row>
    <row r="51" spans="2:7" x14ac:dyDescent="0.55000000000000004">
      <c r="B51" s="16" t="str">
        <f>'3.FBenefits'!B3</f>
        <v>Revenue Source I</v>
      </c>
      <c r="D51" s="129"/>
      <c r="E51" s="16" t="str">
        <f>B51</f>
        <v>Revenue Source I</v>
      </c>
      <c r="G51" s="126"/>
    </row>
    <row r="52" spans="2:7" x14ac:dyDescent="0.55000000000000004">
      <c r="B52" s="16" t="str">
        <f>'3.FBenefits'!B4</f>
        <v xml:space="preserve">    Incremental Load Flow/Total Capacity to be Increased</v>
      </c>
      <c r="C52">
        <f>'3.FBenefits'!C4</f>
        <v>1398.63</v>
      </c>
      <c r="D52" s="328" t="s">
        <v>195</v>
      </c>
      <c r="E52" s="16" t="str">
        <f t="shared" ref="E52:E65" si="3">B52</f>
        <v xml:space="preserve">    Incremental Load Flow/Total Capacity to be Increased</v>
      </c>
      <c r="F52" s="215"/>
      <c r="G52" s="328" t="s">
        <v>195</v>
      </c>
    </row>
    <row r="53" spans="2:7" x14ac:dyDescent="0.55000000000000004">
      <c r="B53" s="16" t="str">
        <f>'3.FBenefits'!B5</f>
        <v xml:space="preserve">    Load Factor</v>
      </c>
      <c r="C53" s="78">
        <f>'3.FBenefits'!C5</f>
        <v>0.9</v>
      </c>
      <c r="D53" s="328" t="s">
        <v>196</v>
      </c>
      <c r="E53" s="16" t="str">
        <f t="shared" si="3"/>
        <v xml:space="preserve">    Load Factor</v>
      </c>
      <c r="F53" s="200"/>
      <c r="G53" s="328" t="s">
        <v>196</v>
      </c>
    </row>
    <row r="54" spans="2:7" x14ac:dyDescent="0.55000000000000004">
      <c r="B54" s="16" t="str">
        <f>'3.FBenefits'!B6</f>
        <v xml:space="preserve">    Gross Annual Energy (considering the Load Factor)</v>
      </c>
      <c r="C54" s="188">
        <f>'3.FBenefits'!C6</f>
        <v>11026.798920000001</v>
      </c>
      <c r="D54" s="328" t="s">
        <v>197</v>
      </c>
      <c r="E54" s="16" t="str">
        <f t="shared" si="3"/>
        <v xml:space="preserve">    Gross Annual Energy (considering the Load Factor)</v>
      </c>
      <c r="F54" s="214"/>
      <c r="G54" s="328" t="s">
        <v>197</v>
      </c>
    </row>
    <row r="55" spans="2:7" x14ac:dyDescent="0.55000000000000004">
      <c r="B55" s="16" t="str">
        <f>'3.FBenefits'!B7</f>
        <v xml:space="preserve">    Transmission Loss</v>
      </c>
      <c r="C55" s="251">
        <f>'3.FBenefits'!C7</f>
        <v>2.7699999999999999E-2</v>
      </c>
      <c r="D55" s="328" t="s">
        <v>196</v>
      </c>
      <c r="E55" s="16" t="str">
        <f t="shared" si="3"/>
        <v xml:space="preserve">    Transmission Loss</v>
      </c>
      <c r="F55" s="217"/>
      <c r="G55" s="328" t="s">
        <v>196</v>
      </c>
    </row>
    <row r="56" spans="2:7" x14ac:dyDescent="0.55000000000000004">
      <c r="B56" s="16" t="str">
        <f>'3.FBenefits'!B8</f>
        <v xml:space="preserve">    Wheeled Energy/Additional Supply of Electricity to Meet Demand (a)</v>
      </c>
      <c r="C56" s="188">
        <f>'3.FBenefits'!C8</f>
        <v>10721.356589916002</v>
      </c>
      <c r="D56" s="328" t="s">
        <v>197</v>
      </c>
      <c r="E56" s="16" t="str">
        <f t="shared" si="3"/>
        <v xml:space="preserve">    Wheeled Energy/Additional Supply of Electricity to Meet Demand (a)</v>
      </c>
      <c r="F56" s="214"/>
      <c r="G56" s="328" t="s">
        <v>197</v>
      </c>
    </row>
    <row r="57" spans="2:7" x14ac:dyDescent="0.55000000000000004">
      <c r="B57" s="16" t="str">
        <f>'3.FBenefits'!B9</f>
        <v xml:space="preserve">    Wheeling Charge (b)</v>
      </c>
      <c r="C57" s="188">
        <f>'3.FBenefits'!C9</f>
        <v>0.27910000000000001</v>
      </c>
      <c r="D57" s="328" t="s">
        <v>198</v>
      </c>
      <c r="E57" s="16" t="str">
        <f t="shared" si="3"/>
        <v xml:space="preserve">    Wheeling Charge (b)</v>
      </c>
      <c r="F57" s="214"/>
      <c r="G57" s="328" t="s">
        <v>198</v>
      </c>
    </row>
    <row r="58" spans="2:7" x14ac:dyDescent="0.55000000000000004">
      <c r="B58" s="218" t="str">
        <f>'3.FBenefits'!B10</f>
        <v xml:space="preserve">    Revenues from Wheeling Charge (a)*(b)</v>
      </c>
      <c r="C58" s="252">
        <f>'3.FBenefits'!C10</f>
        <v>29923.306242455565</v>
      </c>
      <c r="D58" s="328" t="s">
        <v>199</v>
      </c>
      <c r="E58" s="218" t="s">
        <v>192</v>
      </c>
      <c r="F58" s="252">
        <f>C58*$C46</f>
        <v>26020.26629778745</v>
      </c>
      <c r="G58" s="328" t="s">
        <v>199</v>
      </c>
    </row>
    <row r="59" spans="2:7" x14ac:dyDescent="0.55000000000000004">
      <c r="B59" s="16" t="str">
        <f>'3.FBenefits'!B11</f>
        <v>Revenue Source II</v>
      </c>
      <c r="D59" s="129"/>
      <c r="E59" s="16" t="str">
        <f t="shared" si="3"/>
        <v>Revenue Source II</v>
      </c>
      <c r="F59" s="86"/>
      <c r="G59" s="126"/>
    </row>
    <row r="60" spans="2:7" x14ac:dyDescent="0.55000000000000004">
      <c r="B60" s="16" t="str">
        <f>'3.FBenefits'!B12</f>
        <v xml:space="preserve">    Wheeled Energy/Additional Supply of Electricity to Meet Demand (a)</v>
      </c>
      <c r="D60" s="129"/>
      <c r="E60" s="16" t="str">
        <f t="shared" si="3"/>
        <v xml:space="preserve">    Wheeled Energy/Additional Supply of Electricity to Meet Demand (a)</v>
      </c>
      <c r="F60" s="86"/>
      <c r="G60" s="126"/>
    </row>
    <row r="61" spans="2:7" x14ac:dyDescent="0.55000000000000004">
      <c r="B61" s="16" t="str">
        <f>'3.FBenefits'!B13</f>
        <v xml:space="preserve">    Wheeling Charge (b)</v>
      </c>
      <c r="D61" s="129"/>
      <c r="E61" s="16" t="str">
        <f t="shared" si="3"/>
        <v xml:space="preserve">    Wheeling Charge (b)</v>
      </c>
      <c r="F61" s="86"/>
      <c r="G61" s="126"/>
    </row>
    <row r="62" spans="2:7" x14ac:dyDescent="0.55000000000000004">
      <c r="B62" s="218" t="str">
        <f>'3.FBenefits'!B14</f>
        <v xml:space="preserve">    Revenues from Wheeling Charge (a)*(b)</v>
      </c>
      <c r="C62" s="250"/>
      <c r="D62" s="129"/>
      <c r="E62" s="218" t="s">
        <v>192</v>
      </c>
      <c r="F62" s="220"/>
      <c r="G62" s="126"/>
    </row>
    <row r="63" spans="2:7" x14ac:dyDescent="0.55000000000000004">
      <c r="B63" s="16" t="str">
        <f>'3.FBenefits'!B15</f>
        <v>Revenue Source III</v>
      </c>
      <c r="D63" s="129"/>
      <c r="E63" s="16" t="str">
        <f t="shared" si="3"/>
        <v>Revenue Source III</v>
      </c>
      <c r="F63" s="86"/>
      <c r="G63" s="126"/>
    </row>
    <row r="64" spans="2:7" x14ac:dyDescent="0.55000000000000004">
      <c r="B64" s="16" t="str">
        <f>'3.FBenefits'!B16</f>
        <v xml:space="preserve">    Wheeled Energy/Additional Supply of Electricity to Meet Demand (a)</v>
      </c>
      <c r="D64" s="129"/>
      <c r="E64" s="16" t="str">
        <f t="shared" si="3"/>
        <v xml:space="preserve">    Wheeled Energy/Additional Supply of Electricity to Meet Demand (a)</v>
      </c>
      <c r="F64" s="86"/>
      <c r="G64" s="126"/>
    </row>
    <row r="65" spans="2:35" x14ac:dyDescent="0.55000000000000004">
      <c r="B65" s="16" t="str">
        <f>'3.FBenefits'!B17</f>
        <v xml:space="preserve">    Wheeling Charge (b)</v>
      </c>
      <c r="D65" s="129"/>
      <c r="E65" s="16" t="str">
        <f t="shared" si="3"/>
        <v xml:space="preserve">    Wheeling Charge (b)</v>
      </c>
      <c r="F65" s="86"/>
      <c r="G65" s="126"/>
    </row>
    <row r="66" spans="2:35" x14ac:dyDescent="0.55000000000000004">
      <c r="B66" s="218" t="str">
        <f>'3.FBenefits'!B18</f>
        <v xml:space="preserve">    Revenues from Wheeling Charge (a)*(b)</v>
      </c>
      <c r="C66" s="250"/>
      <c r="D66" s="129"/>
      <c r="E66" s="218" t="s">
        <v>192</v>
      </c>
      <c r="F66" s="220"/>
      <c r="G66" s="126"/>
    </row>
    <row r="67" spans="2:35" x14ac:dyDescent="0.55000000000000004">
      <c r="B67" s="15" t="s">
        <v>34</v>
      </c>
      <c r="C67" s="253">
        <f>'3.FBenefits'!C19</f>
        <v>29923.306242455565</v>
      </c>
      <c r="D67" s="216" t="s">
        <v>110</v>
      </c>
      <c r="E67" s="15" t="s">
        <v>200</v>
      </c>
      <c r="F67" s="123">
        <f>F58+F62+F66</f>
        <v>26020.26629778745</v>
      </c>
      <c r="G67" s="328" t="s">
        <v>199</v>
      </c>
    </row>
    <row r="69" spans="2:35" x14ac:dyDescent="0.55000000000000004">
      <c r="E69" s="9"/>
      <c r="F69" s="65">
        <v>1</v>
      </c>
      <c r="G69" s="7">
        <v>2</v>
      </c>
      <c r="H69" s="65">
        <v>3</v>
      </c>
      <c r="I69" s="7">
        <v>4</v>
      </c>
      <c r="J69" s="65">
        <v>5</v>
      </c>
      <c r="K69" s="65">
        <v>6</v>
      </c>
    </row>
    <row r="70" spans="2:35" x14ac:dyDescent="0.55000000000000004">
      <c r="E70" s="4" t="s">
        <v>260</v>
      </c>
      <c r="F70" s="221">
        <f>'3.FBenefits'!C22</f>
        <v>0</v>
      </c>
      <c r="G70" s="221">
        <f>'3.FBenefits'!D22</f>
        <v>0</v>
      </c>
      <c r="H70" s="221">
        <f>'3.FBenefits'!E22</f>
        <v>0</v>
      </c>
      <c r="I70" s="221">
        <f>'3.FBenefits'!F22</f>
        <v>0.2142</v>
      </c>
      <c r="J70" s="221">
        <f>'3.FBenefits'!G22</f>
        <v>0.25700000000000001</v>
      </c>
      <c r="K70" s="221">
        <f>'3.FBenefits'!H22</f>
        <v>0.50470000000000004</v>
      </c>
    </row>
    <row r="71" spans="2:35" x14ac:dyDescent="0.55000000000000004">
      <c r="E71" s="64" t="s">
        <v>42</v>
      </c>
      <c r="F71" s="66">
        <f>$F$67*F70</f>
        <v>0</v>
      </c>
      <c r="G71" s="66">
        <f t="shared" ref="G71:K71" si="4">$F$67*G$70</f>
        <v>0</v>
      </c>
      <c r="H71" s="66">
        <f t="shared" si="4"/>
        <v>0</v>
      </c>
      <c r="I71" s="66">
        <f t="shared" si="4"/>
        <v>5573.5410409860715</v>
      </c>
      <c r="J71" s="66">
        <f t="shared" si="4"/>
        <v>6687.2084385313747</v>
      </c>
      <c r="K71" s="66">
        <f t="shared" si="4"/>
        <v>13132.428400493327</v>
      </c>
    </row>
    <row r="73" spans="2:35" x14ac:dyDescent="0.55000000000000004">
      <c r="E73" s="17"/>
      <c r="F73" s="14">
        <v>1</v>
      </c>
      <c r="G73" s="12">
        <v>2</v>
      </c>
      <c r="H73" s="14">
        <v>3</v>
      </c>
      <c r="I73" s="12">
        <v>4</v>
      </c>
      <c r="J73" s="14">
        <v>5</v>
      </c>
      <c r="K73" s="12">
        <v>6</v>
      </c>
      <c r="L73" s="82">
        <v>7</v>
      </c>
      <c r="M73" s="81">
        <v>8</v>
      </c>
      <c r="N73" s="82">
        <v>9</v>
      </c>
      <c r="O73" s="81">
        <v>10</v>
      </c>
      <c r="P73" s="82">
        <v>11</v>
      </c>
      <c r="Q73" s="81">
        <v>12</v>
      </c>
      <c r="R73" s="82">
        <v>13</v>
      </c>
      <c r="S73" s="81">
        <v>14</v>
      </c>
      <c r="T73" s="82">
        <v>15</v>
      </c>
      <c r="U73" s="81">
        <v>16</v>
      </c>
      <c r="V73" s="82">
        <v>17</v>
      </c>
      <c r="W73" s="81">
        <v>18</v>
      </c>
      <c r="X73" s="82">
        <v>19</v>
      </c>
      <c r="Y73" s="81">
        <v>20</v>
      </c>
      <c r="Z73" s="82">
        <v>21</v>
      </c>
      <c r="AA73" s="81">
        <v>22</v>
      </c>
      <c r="AB73" s="82">
        <v>23</v>
      </c>
      <c r="AC73" s="81">
        <v>24</v>
      </c>
      <c r="AD73" s="82">
        <v>25</v>
      </c>
      <c r="AE73" s="81">
        <v>26</v>
      </c>
      <c r="AF73" s="82">
        <v>27</v>
      </c>
      <c r="AG73" s="81">
        <v>28</v>
      </c>
      <c r="AH73" s="82">
        <v>29</v>
      </c>
      <c r="AI73" s="81">
        <v>30</v>
      </c>
    </row>
    <row r="74" spans="2:35" x14ac:dyDescent="0.55000000000000004">
      <c r="E74" s="17" t="s">
        <v>261</v>
      </c>
      <c r="F74" s="72"/>
      <c r="G74" s="72"/>
      <c r="H74" s="72"/>
      <c r="I74" s="72"/>
      <c r="J74" s="72"/>
      <c r="K74" s="72"/>
      <c r="L74" s="72">
        <f>'3.FBenefits'!I26</f>
        <v>1</v>
      </c>
      <c r="M74" s="72">
        <f>'3.FBenefits'!J26</f>
        <v>1</v>
      </c>
      <c r="N74" s="72">
        <f>'3.FBenefits'!K26</f>
        <v>1</v>
      </c>
      <c r="O74" s="72">
        <f>'3.FBenefits'!L26</f>
        <v>1</v>
      </c>
      <c r="P74" s="72">
        <f>'3.FBenefits'!M26</f>
        <v>1</v>
      </c>
      <c r="Q74" s="72">
        <f>'3.FBenefits'!N26</f>
        <v>1</v>
      </c>
      <c r="R74" s="72">
        <f>'3.FBenefits'!O26</f>
        <v>1</v>
      </c>
      <c r="S74" s="72">
        <f>'3.FBenefits'!P26</f>
        <v>1</v>
      </c>
      <c r="T74" s="72">
        <f>'3.FBenefits'!Q26</f>
        <v>1</v>
      </c>
      <c r="U74" s="72">
        <f>'3.FBenefits'!R26</f>
        <v>1</v>
      </c>
      <c r="V74" s="72">
        <f>'3.FBenefits'!S26</f>
        <v>1</v>
      </c>
      <c r="W74" s="72">
        <f>'3.FBenefits'!T26</f>
        <v>1</v>
      </c>
      <c r="X74" s="72">
        <f>'3.FBenefits'!U26</f>
        <v>1</v>
      </c>
      <c r="Y74" s="72">
        <f>'3.FBenefits'!V26</f>
        <v>1</v>
      </c>
      <c r="Z74" s="72">
        <f>'3.FBenefits'!W26</f>
        <v>1</v>
      </c>
      <c r="AA74" s="72">
        <f>'3.FBenefits'!X26</f>
        <v>1</v>
      </c>
      <c r="AB74" s="72">
        <f>'3.FBenefits'!Y26</f>
        <v>1</v>
      </c>
      <c r="AC74" s="72">
        <f>'3.FBenefits'!Z26</f>
        <v>1</v>
      </c>
      <c r="AD74" s="72">
        <f>'3.FBenefits'!AA26</f>
        <v>1</v>
      </c>
      <c r="AE74" s="72">
        <f>'3.FBenefits'!AB26</f>
        <v>1</v>
      </c>
      <c r="AF74" s="72">
        <f>'3.FBenefits'!AC26</f>
        <v>1</v>
      </c>
      <c r="AG74" s="72">
        <f>'3.FBenefits'!AD26</f>
        <v>1</v>
      </c>
      <c r="AH74" s="72">
        <f>'3.FBenefits'!AE26</f>
        <v>1</v>
      </c>
      <c r="AI74" s="72">
        <f>'3.FBenefits'!AF26</f>
        <v>1</v>
      </c>
    </row>
    <row r="75" spans="2:35" x14ac:dyDescent="0.55000000000000004">
      <c r="E75" s="64" t="s">
        <v>144</v>
      </c>
      <c r="F75" s="280" t="s">
        <v>219</v>
      </c>
      <c r="G75" s="280" t="s">
        <v>219</v>
      </c>
      <c r="H75" s="280" t="s">
        <v>219</v>
      </c>
      <c r="I75" s="280" t="s">
        <v>219</v>
      </c>
      <c r="J75" s="280" t="s">
        <v>219</v>
      </c>
      <c r="K75" s="280" t="s">
        <v>219</v>
      </c>
      <c r="L75" s="68">
        <f>$F$67*L$74</f>
        <v>26020.26629778745</v>
      </c>
      <c r="M75" s="68">
        <f t="shared" ref="M75:AI75" si="5">$F$67*M$74</f>
        <v>26020.26629778745</v>
      </c>
      <c r="N75" s="68">
        <f t="shared" si="5"/>
        <v>26020.26629778745</v>
      </c>
      <c r="O75" s="68">
        <f t="shared" si="5"/>
        <v>26020.26629778745</v>
      </c>
      <c r="P75" s="68">
        <f t="shared" si="5"/>
        <v>26020.26629778745</v>
      </c>
      <c r="Q75" s="68">
        <f t="shared" si="5"/>
        <v>26020.26629778745</v>
      </c>
      <c r="R75" s="68">
        <f t="shared" si="5"/>
        <v>26020.26629778745</v>
      </c>
      <c r="S75" s="68">
        <f t="shared" si="5"/>
        <v>26020.26629778745</v>
      </c>
      <c r="T75" s="68">
        <f t="shared" si="5"/>
        <v>26020.26629778745</v>
      </c>
      <c r="U75" s="68">
        <f t="shared" si="5"/>
        <v>26020.26629778745</v>
      </c>
      <c r="V75" s="68">
        <f t="shared" si="5"/>
        <v>26020.26629778745</v>
      </c>
      <c r="W75" s="68">
        <f t="shared" si="5"/>
        <v>26020.26629778745</v>
      </c>
      <c r="X75" s="68">
        <f t="shared" si="5"/>
        <v>26020.26629778745</v>
      </c>
      <c r="Y75" s="68">
        <f t="shared" si="5"/>
        <v>26020.26629778745</v>
      </c>
      <c r="Z75" s="68">
        <f t="shared" si="5"/>
        <v>26020.26629778745</v>
      </c>
      <c r="AA75" s="68">
        <f t="shared" si="5"/>
        <v>26020.26629778745</v>
      </c>
      <c r="AB75" s="68">
        <f t="shared" si="5"/>
        <v>26020.26629778745</v>
      </c>
      <c r="AC75" s="68">
        <f t="shared" si="5"/>
        <v>26020.26629778745</v>
      </c>
      <c r="AD75" s="68">
        <f t="shared" si="5"/>
        <v>26020.26629778745</v>
      </c>
      <c r="AE75" s="68">
        <f t="shared" si="5"/>
        <v>26020.26629778745</v>
      </c>
      <c r="AF75" s="68">
        <f t="shared" si="5"/>
        <v>26020.26629778745</v>
      </c>
      <c r="AG75" s="68">
        <f t="shared" si="5"/>
        <v>26020.26629778745</v>
      </c>
      <c r="AH75" s="68">
        <f t="shared" si="5"/>
        <v>26020.26629778745</v>
      </c>
      <c r="AI75" s="68">
        <f t="shared" si="5"/>
        <v>26020.26629778745</v>
      </c>
    </row>
  </sheetData>
  <sheetProtection sheet="1" objects="1" scenarios="1"/>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12</vt:i4>
      </vt:variant>
    </vt:vector>
  </HeadingPairs>
  <TitlesOfParts>
    <vt:vector size="12" baseType="lpstr">
      <vt:lpstr>0.Contents</vt:lpstr>
      <vt:lpstr>1.Params_8.Sensitivity</vt:lpstr>
      <vt:lpstr>2a.FCosts</vt:lpstr>
      <vt:lpstr>2b.FCosts</vt:lpstr>
      <vt:lpstr>3.FBenefits</vt:lpstr>
      <vt:lpstr>4a.FAnalysis</vt:lpstr>
      <vt:lpstr>4b.FAnalysis</vt:lpstr>
      <vt:lpstr>5.ECosts</vt:lpstr>
      <vt:lpstr>6.EBenefits</vt:lpstr>
      <vt:lpstr>7a.EAnalysis</vt:lpstr>
      <vt:lpstr>7b.EAnalysis</vt:lpstr>
      <vt:lpstr>9.Results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Maxvandersleen</dc:creator>
  <cp:lastModifiedBy>笠原　龍二_KASAHARA Ryuji</cp:lastModifiedBy>
  <cp:lastPrinted>2023-02-16T04:39:17Z</cp:lastPrinted>
  <dcterms:created xsi:type="dcterms:W3CDTF">2016-08-13T09:34:09Z</dcterms:created>
  <dcterms:modified xsi:type="dcterms:W3CDTF">2024-04-29T04:24:04Z</dcterms:modified>
</cp:coreProperties>
</file>