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C:\Users\kasahara.ryuji\Dropbox\SPIMS-J2 (all)\20_Output 2 Project Formulation and Approval\2_02 Activity 2-2 Training Materials  (inc. video, manual)\34_cba\handbook\Revised in 25-04-2024\"/>
    </mc:Choice>
  </mc:AlternateContent>
  <xr:revisionPtr revIDLastSave="0" documentId="13_ncr:1_{63F7A809-17D0-4823-A3A0-918692E49920}" xr6:coauthVersionLast="47" xr6:coauthVersionMax="47" xr10:uidLastSave="{00000000-0000-0000-0000-000000000000}"/>
  <bookViews>
    <workbookView xWindow="28680" yWindow="-120" windowWidth="29040" windowHeight="15840" tabRatio="871" xr2:uid="{00000000-000D-0000-FFFF-FFFF00000000}"/>
  </bookViews>
  <sheets>
    <sheet name="0.Contents" sheetId="72" r:id="rId1"/>
    <sheet name="1.Params_8.Sensitivity" sheetId="58" r:id="rId2"/>
    <sheet name="2a.FCosts" sheetId="71" r:id="rId3"/>
    <sheet name="2b.FCosts" sheetId="59" r:id="rId4"/>
    <sheet name="3.FBenefits" sheetId="62" r:id="rId5"/>
    <sheet name="4a.FAnalysis" sheetId="57" r:id="rId6"/>
    <sheet name="4b.FAnalysis" sheetId="73" r:id="rId7"/>
    <sheet name="5.ECosts" sheetId="64" r:id="rId8"/>
    <sheet name="6.EBenefits" sheetId="65" r:id="rId9"/>
    <sheet name="7a.EAnalysis" sheetId="66" r:id="rId10"/>
    <sheet name="7b.EAnalysis" sheetId="74" r:id="rId11"/>
    <sheet name="9.Results" sheetId="67" r:id="rId12"/>
  </sheets>
  <definedNames>
    <definedName name="_____a70000">#REF!</definedName>
    <definedName name="_____a80000">#REF!</definedName>
    <definedName name="___a70000">#REF!</definedName>
    <definedName name="___a80000">#REF!</definedName>
    <definedName name="_a70000">#REF!</definedName>
    <definedName name="_a80000">#REF!</definedName>
    <definedName name="_Fill" hidden="1">#REF!</definedName>
    <definedName name="\s">#REF!</definedName>
    <definedName name="aaaaa">#REF!</definedName>
    <definedName name="annx">#REF!</definedName>
    <definedName name="asd">#REF!</definedName>
    <definedName name="B380M">#REF!</definedName>
    <definedName name="Basic">#REF!</definedName>
    <definedName name="Basicpp">#REF!</definedName>
    <definedName name="BCR_FINANCIAL_">#N/A</definedName>
    <definedName name="CAPITAL_BCR_">#N/A</definedName>
    <definedName name="ESTIMATED_COST">#N/A</definedName>
    <definedName name="gfh">#REF!</definedName>
    <definedName name="HTML_CodePage" hidden="1">1252</definedName>
    <definedName name="HTML_Control" hidden="1">{"'Sheet1'!$B$6:$C$39","'Sheet1'!$B$6:$C$39","'Sheet1'!$M$9"}</definedName>
    <definedName name="HTML_Description" hidden="1">""</definedName>
    <definedName name="HTML_Email" hidden="1">""</definedName>
    <definedName name="HTML_Header" hidden="1">"Sheet1"</definedName>
    <definedName name="HTML_LastUpdate" hidden="1">"11/13/03"</definedName>
    <definedName name="HTML_LineAfter" hidden="1">FALSE</definedName>
    <definedName name="HTML_LineBefore" hidden="1">FALSE</definedName>
    <definedName name="HTML_Name" hidden="1">"Ulysses R. Gotera"</definedName>
    <definedName name="HTML_OBDlg2" hidden="1">TRUE</definedName>
    <definedName name="HTML_OBDlg4" hidden="1">TRUE</definedName>
    <definedName name="HTML_OS" hidden="1">0</definedName>
    <definedName name="HTML_PathFile" hidden="1">"C:\My Documents\MyHTML.htm"</definedName>
    <definedName name="HTML_Title" hidden="1">"Top_August_2003"</definedName>
    <definedName name="INPUT_TABLE">#REF!</definedName>
    <definedName name="INTEREST">#REF!</definedName>
    <definedName name="OPERATING_BCR_">#REF!</definedName>
    <definedName name="OPERATING_TABLE">#N/A</definedName>
    <definedName name="parul" hidden="1">#REF!</definedName>
    <definedName name="Parul_Monir">#REF!</definedName>
    <definedName name="Print_Area_MI">#REF!</definedName>
    <definedName name="REVENUE">#N/A</definedName>
    <definedName name="REVENUE_TABLE">#N/A</definedName>
    <definedName name="table">#REF!</definedName>
    <definedName name="TABLE_C">#N/A</definedName>
    <definedName name="TABLE_E">#REF!</definedName>
    <definedName name="TABLE_F">#REF!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5" i="59" l="1"/>
  <c r="G12" i="59"/>
  <c r="G5" i="59"/>
  <c r="E34" i="74"/>
  <c r="E33" i="74"/>
  <c r="E32" i="74"/>
  <c r="E31" i="74"/>
  <c r="E30" i="74"/>
  <c r="E29" i="74"/>
  <c r="E28" i="74"/>
  <c r="E27" i="74"/>
  <c r="E26" i="74"/>
  <c r="E25" i="74"/>
  <c r="E24" i="74"/>
  <c r="E23" i="74"/>
  <c r="E22" i="74"/>
  <c r="E21" i="74"/>
  <c r="E20" i="74"/>
  <c r="E19" i="74"/>
  <c r="E18" i="74"/>
  <c r="E17" i="74"/>
  <c r="E16" i="74"/>
  <c r="E15" i="74"/>
  <c r="E14" i="74"/>
  <c r="E13" i="74"/>
  <c r="E12" i="74"/>
  <c r="E11" i="74"/>
  <c r="E10" i="74"/>
  <c r="B19" i="71"/>
  <c r="B18" i="71"/>
  <c r="B14" i="59"/>
  <c r="B18" i="64"/>
  <c r="B17" i="64"/>
  <c r="B13" i="59"/>
  <c r="H14" i="64"/>
  <c r="D10" i="64"/>
  <c r="D11" i="64"/>
  <c r="D12" i="64"/>
  <c r="D13" i="64"/>
  <c r="D14" i="64"/>
  <c r="D15" i="64"/>
  <c r="C10" i="64"/>
  <c r="C11" i="64"/>
  <c r="C12" i="64"/>
  <c r="C13" i="64"/>
  <c r="C14" i="64"/>
  <c r="C15" i="64"/>
  <c r="H28" i="59"/>
  <c r="F19" i="59"/>
  <c r="D23" i="64" s="1"/>
  <c r="E19" i="59"/>
  <c r="D19" i="59"/>
  <c r="C19" i="59"/>
  <c r="C23" i="64" s="1"/>
  <c r="C12" i="59"/>
  <c r="C20" i="59" s="1"/>
  <c r="D12" i="59"/>
  <c r="D14" i="59" s="1"/>
  <c r="D22" i="59" s="1"/>
  <c r="E12" i="59"/>
  <c r="E14" i="59" s="1"/>
  <c r="E22" i="59" s="1"/>
  <c r="F12" i="59"/>
  <c r="F14" i="59" s="1"/>
  <c r="F22" i="59" s="1"/>
  <c r="G11" i="59"/>
  <c r="E15" i="64" s="1"/>
  <c r="G10" i="59"/>
  <c r="E14" i="64" s="1"/>
  <c r="D8" i="66"/>
  <c r="E8" i="66"/>
  <c r="F8" i="66"/>
  <c r="G8" i="66"/>
  <c r="H8" i="66"/>
  <c r="H52" i="64"/>
  <c r="I52" i="64"/>
  <c r="J52" i="64"/>
  <c r="K52" i="64"/>
  <c r="L52" i="64"/>
  <c r="A1" i="58"/>
  <c r="A1" i="59"/>
  <c r="A1" i="71"/>
  <c r="A1" i="67"/>
  <c r="A1" i="74"/>
  <c r="A1" i="66"/>
  <c r="A1" i="65"/>
  <c r="A1" i="64"/>
  <c r="A1" i="57"/>
  <c r="A1" i="73"/>
  <c r="A1" i="62"/>
  <c r="F1" i="58"/>
  <c r="A47" i="58"/>
  <c r="S5" i="74"/>
  <c r="C16" i="64" l="1"/>
  <c r="G19" i="59"/>
  <c r="E23" i="64" s="1"/>
  <c r="D18" i="64"/>
  <c r="D16" i="64"/>
  <c r="C15" i="59"/>
  <c r="D26" i="64"/>
  <c r="D20" i="59"/>
  <c r="C24" i="64" s="1"/>
  <c r="H24" i="64" s="1"/>
  <c r="E20" i="59"/>
  <c r="F20" i="59"/>
  <c r="C13" i="59"/>
  <c r="C14" i="59"/>
  <c r="F13" i="59"/>
  <c r="D17" i="64" s="1"/>
  <c r="I17" i="64" s="1"/>
  <c r="E16" i="64"/>
  <c r="E13" i="59"/>
  <c r="D13" i="59"/>
  <c r="D21" i="59" s="1"/>
  <c r="H9" i="74"/>
  <c r="H8" i="74"/>
  <c r="H7" i="74"/>
  <c r="H6" i="74"/>
  <c r="H5" i="74"/>
  <c r="F37" i="74"/>
  <c r="D38" i="74"/>
  <c r="D39" i="74"/>
  <c r="D37" i="74"/>
  <c r="O4" i="74"/>
  <c r="Q2" i="74"/>
  <c r="B2" i="74"/>
  <c r="AA3" i="74"/>
  <c r="Z3" i="74"/>
  <c r="Y3" i="74"/>
  <c r="E34" i="73"/>
  <c r="E33" i="73"/>
  <c r="E32" i="73"/>
  <c r="E31" i="73"/>
  <c r="E30" i="73"/>
  <c r="E29" i="73"/>
  <c r="E28" i="73"/>
  <c r="E27" i="73"/>
  <c r="E26" i="73"/>
  <c r="E25" i="73"/>
  <c r="E24" i="73"/>
  <c r="E23" i="73"/>
  <c r="E22" i="73"/>
  <c r="E21" i="73"/>
  <c r="E20" i="73"/>
  <c r="E19" i="73"/>
  <c r="E18" i="73"/>
  <c r="E17" i="73"/>
  <c r="E16" i="73"/>
  <c r="E15" i="73"/>
  <c r="E14" i="73"/>
  <c r="E13" i="73"/>
  <c r="E12" i="73"/>
  <c r="E11" i="73"/>
  <c r="E10" i="73"/>
  <c r="F37" i="73"/>
  <c r="D38" i="73"/>
  <c r="D39" i="73"/>
  <c r="D37" i="73"/>
  <c r="K4" i="73"/>
  <c r="M2" i="73"/>
  <c r="B2" i="73"/>
  <c r="D15" i="62"/>
  <c r="E15" i="62"/>
  <c r="F15" i="62"/>
  <c r="G15" i="62"/>
  <c r="C15" i="62"/>
  <c r="C16" i="59" l="1"/>
  <c r="C23" i="59"/>
  <c r="C22" i="59"/>
  <c r="C18" i="64"/>
  <c r="C21" i="59"/>
  <c r="C25" i="64" s="1"/>
  <c r="H25" i="64" s="1"/>
  <c r="C17" i="64"/>
  <c r="H17" i="64" s="1"/>
  <c r="J17" i="64" s="1"/>
  <c r="G20" i="59"/>
  <c r="E24" i="64" s="1"/>
  <c r="D24" i="64"/>
  <c r="I24" i="64" s="1"/>
  <c r="E15" i="59"/>
  <c r="E21" i="59"/>
  <c r="F15" i="59"/>
  <c r="D19" i="64" s="1"/>
  <c r="F21" i="59"/>
  <c r="G14" i="59"/>
  <c r="E18" i="64" s="1"/>
  <c r="G13" i="59"/>
  <c r="E17" i="64" s="1"/>
  <c r="D15" i="59"/>
  <c r="C19" i="64" s="1"/>
  <c r="I18" i="71"/>
  <c r="J18" i="71"/>
  <c r="K18" i="71"/>
  <c r="L18" i="71"/>
  <c r="M18" i="71"/>
  <c r="N18" i="71"/>
  <c r="N20" i="71" s="1"/>
  <c r="I19" i="71"/>
  <c r="I20" i="71" s="1"/>
  <c r="O20" i="71" s="1"/>
  <c r="P20" i="71" s="1"/>
  <c r="J19" i="71"/>
  <c r="K19" i="71"/>
  <c r="L19" i="71"/>
  <c r="M19" i="71"/>
  <c r="N19" i="71"/>
  <c r="J20" i="71"/>
  <c r="K20" i="71"/>
  <c r="L20" i="71"/>
  <c r="M20" i="71"/>
  <c r="H20" i="71"/>
  <c r="H19" i="71"/>
  <c r="O19" i="71" s="1"/>
  <c r="H18" i="71"/>
  <c r="O15" i="71"/>
  <c r="O16" i="71"/>
  <c r="O17" i="71"/>
  <c r="O12" i="71"/>
  <c r="I13" i="64"/>
  <c r="G9" i="59"/>
  <c r="E13" i="64" s="1"/>
  <c r="B5" i="62"/>
  <c r="B4" i="62"/>
  <c r="I114" i="58"/>
  <c r="H114" i="58"/>
  <c r="G114" i="58"/>
  <c r="I106" i="58"/>
  <c r="H106" i="58"/>
  <c r="G106" i="58"/>
  <c r="I146" i="58"/>
  <c r="H146" i="58"/>
  <c r="G146" i="58"/>
  <c r="I138" i="58"/>
  <c r="H138" i="58"/>
  <c r="G138" i="58"/>
  <c r="I130" i="58"/>
  <c r="H130" i="58"/>
  <c r="G130" i="58"/>
  <c r="I122" i="58"/>
  <c r="H122" i="58"/>
  <c r="G122" i="58"/>
  <c r="I90" i="58"/>
  <c r="I98" i="58"/>
  <c r="H98" i="58"/>
  <c r="G98" i="58"/>
  <c r="H90" i="58"/>
  <c r="G90" i="58"/>
  <c r="H82" i="58"/>
  <c r="G82" i="58"/>
  <c r="I74" i="58"/>
  <c r="H74" i="58"/>
  <c r="G74" i="58"/>
  <c r="I66" i="58"/>
  <c r="H66" i="58"/>
  <c r="G66" i="58"/>
  <c r="C26" i="64" l="1"/>
  <c r="G22" i="59"/>
  <c r="E26" i="64" s="1"/>
  <c r="G21" i="59"/>
  <c r="E25" i="64" s="1"/>
  <c r="D25" i="64"/>
  <c r="I25" i="64" s="1"/>
  <c r="J25" i="64" s="1"/>
  <c r="E23" i="59"/>
  <c r="E24" i="59" s="1"/>
  <c r="E16" i="59"/>
  <c r="C20" i="64" s="1"/>
  <c r="C24" i="59"/>
  <c r="C28" i="64" s="1"/>
  <c r="D23" i="59"/>
  <c r="D24" i="59" s="1"/>
  <c r="D16" i="59"/>
  <c r="J24" i="64"/>
  <c r="H28" i="64"/>
  <c r="F16" i="59"/>
  <c r="D20" i="64" s="1"/>
  <c r="F23" i="59"/>
  <c r="D27" i="64" s="1"/>
  <c r="O18" i="71"/>
  <c r="P16" i="71"/>
  <c r="P15" i="71"/>
  <c r="P19" i="71"/>
  <c r="P18" i="71"/>
  <c r="P17" i="71"/>
  <c r="H58" i="64"/>
  <c r="I58" i="64" s="1"/>
  <c r="B27" i="66"/>
  <c r="B26" i="66"/>
  <c r="B25" i="66"/>
  <c r="J28" i="64" l="1"/>
  <c r="I28" i="64"/>
  <c r="G16" i="59"/>
  <c r="E20" i="64" s="1"/>
  <c r="E19" i="64"/>
  <c r="C27" i="64"/>
  <c r="G23" i="59"/>
  <c r="F24" i="59"/>
  <c r="D28" i="64" s="1"/>
  <c r="I59" i="64"/>
  <c r="I60" i="64" s="1"/>
  <c r="J58" i="64"/>
  <c r="H59" i="64"/>
  <c r="H60" i="64" s="1"/>
  <c r="E12" i="66"/>
  <c r="L6" i="74" s="1"/>
  <c r="F12" i="66"/>
  <c r="L7" i="74" s="1"/>
  <c r="G12" i="66"/>
  <c r="L8" i="74" s="1"/>
  <c r="H12" i="66"/>
  <c r="L9" i="74" s="1"/>
  <c r="D12" i="66"/>
  <c r="L5" i="74" s="1"/>
  <c r="E11" i="66"/>
  <c r="K6" i="74" s="1"/>
  <c r="F11" i="66"/>
  <c r="K7" i="74" s="1"/>
  <c r="G11" i="66"/>
  <c r="K8" i="74" s="1"/>
  <c r="H11" i="66"/>
  <c r="K9" i="74" s="1"/>
  <c r="D11" i="66"/>
  <c r="K5" i="74" s="1"/>
  <c r="F10" i="66"/>
  <c r="J7" i="74" s="1"/>
  <c r="G10" i="66"/>
  <c r="J8" i="74" s="1"/>
  <c r="H10" i="66"/>
  <c r="J9" i="74" s="1"/>
  <c r="E10" i="66"/>
  <c r="J6" i="74" s="1"/>
  <c r="D10" i="66"/>
  <c r="J5" i="74" s="1"/>
  <c r="I41" i="58"/>
  <c r="C4" i="65"/>
  <c r="G24" i="59" l="1"/>
  <c r="E27" i="64"/>
  <c r="C11" i="65"/>
  <c r="C12" i="65" s="1"/>
  <c r="C13" i="65" s="1"/>
  <c r="C14" i="65" s="1"/>
  <c r="D4" i="65"/>
  <c r="K58" i="64"/>
  <c r="J59" i="64"/>
  <c r="J60" i="64" s="1"/>
  <c r="C5" i="65"/>
  <c r="C6" i="65" s="1"/>
  <c r="C16" i="65" s="1"/>
  <c r="C8" i="65"/>
  <c r="E28" i="64" l="1"/>
  <c r="C41" i="59"/>
  <c r="C9" i="65"/>
  <c r="L58" i="64"/>
  <c r="M58" i="64" s="1"/>
  <c r="M59" i="64" s="1"/>
  <c r="M60" i="64" s="1"/>
  <c r="M62" i="64" s="1"/>
  <c r="K59" i="64"/>
  <c r="K60" i="64" s="1"/>
  <c r="C7" i="65"/>
  <c r="C17" i="65" s="1"/>
  <c r="D8" i="65"/>
  <c r="D9" i="65" s="1"/>
  <c r="D5" i="65"/>
  <c r="E4" i="65"/>
  <c r="D11" i="65"/>
  <c r="D12" i="65" s="1"/>
  <c r="D13" i="65" s="1"/>
  <c r="D14" i="65" s="1"/>
  <c r="L59" i="64" l="1"/>
  <c r="L60" i="64" s="1"/>
  <c r="F4" i="65"/>
  <c r="E8" i="65"/>
  <c r="E9" i="65" s="1"/>
  <c r="E5" i="65"/>
  <c r="E11" i="65"/>
  <c r="E12" i="65" s="1"/>
  <c r="E13" i="65" s="1"/>
  <c r="E14" i="65" s="1"/>
  <c r="D6" i="65"/>
  <c r="D16" i="65" s="1"/>
  <c r="D7" i="65"/>
  <c r="D17" i="65" s="1"/>
  <c r="N58" i="64" l="1"/>
  <c r="E7" i="65"/>
  <c r="E17" i="65" s="1"/>
  <c r="E6" i="65"/>
  <c r="E16" i="65" s="1"/>
  <c r="G4" i="65"/>
  <c r="H4" i="65" s="1"/>
  <c r="F8" i="65"/>
  <c r="F9" i="65" s="1"/>
  <c r="F5" i="65"/>
  <c r="F11" i="65"/>
  <c r="F12" i="65" s="1"/>
  <c r="F13" i="65" s="1"/>
  <c r="F14" i="65" s="1"/>
  <c r="I8" i="66" l="1"/>
  <c r="H10" i="74" s="1"/>
  <c r="O58" i="64"/>
  <c r="N59" i="64"/>
  <c r="H8" i="65"/>
  <c r="G8" i="65"/>
  <c r="G9" i="65" s="1"/>
  <c r="G5" i="65"/>
  <c r="G11" i="65"/>
  <c r="G12" i="65" s="1"/>
  <c r="G13" i="65" s="1"/>
  <c r="G14" i="65" s="1"/>
  <c r="F7" i="65"/>
  <c r="F17" i="65" s="1"/>
  <c r="F6" i="65"/>
  <c r="F16" i="65" s="1"/>
  <c r="N60" i="64" l="1"/>
  <c r="N62" i="64" s="1"/>
  <c r="J8" i="66" s="1"/>
  <c r="H11" i="74" s="1"/>
  <c r="P58" i="64"/>
  <c r="O59" i="64"/>
  <c r="G7" i="65"/>
  <c r="G17" i="65" s="1"/>
  <c r="G6" i="65"/>
  <c r="G16" i="65" s="1"/>
  <c r="I4" i="65"/>
  <c r="H11" i="65"/>
  <c r="H12" i="65" s="1"/>
  <c r="H13" i="65" s="1"/>
  <c r="H14" i="65" s="1"/>
  <c r="H15" i="65" s="1"/>
  <c r="H25" i="65" s="1"/>
  <c r="H9" i="65"/>
  <c r="H10" i="65" s="1"/>
  <c r="H5" i="65"/>
  <c r="I12" i="66" l="1"/>
  <c r="L10" i="74" s="1"/>
  <c r="O60" i="64"/>
  <c r="O62" i="64" s="1"/>
  <c r="K8" i="66" s="1"/>
  <c r="H12" i="74" s="1"/>
  <c r="Q58" i="64"/>
  <c r="P59" i="64"/>
  <c r="H6" i="65"/>
  <c r="H16" i="65" s="1"/>
  <c r="H7" i="65"/>
  <c r="H17" i="65" s="1"/>
  <c r="H20" i="65" s="1"/>
  <c r="J4" i="65"/>
  <c r="I11" i="65"/>
  <c r="I12" i="65" s="1"/>
  <c r="I13" i="65" s="1"/>
  <c r="I14" i="65" s="1"/>
  <c r="I15" i="65" s="1"/>
  <c r="I25" i="65" s="1"/>
  <c r="J12" i="66" s="1"/>
  <c r="L11" i="74" s="1"/>
  <c r="I5" i="65"/>
  <c r="I8" i="65"/>
  <c r="I9" i="65" s="1"/>
  <c r="I10" i="65" s="1"/>
  <c r="H19" i="65" l="1"/>
  <c r="P60" i="64"/>
  <c r="P62" i="64" s="1"/>
  <c r="L8" i="66" s="1"/>
  <c r="H13" i="74" s="1"/>
  <c r="R58" i="64"/>
  <c r="Q59" i="64"/>
  <c r="I6" i="65"/>
  <c r="I16" i="65" s="1"/>
  <c r="I19" i="65" s="1"/>
  <c r="I7" i="65"/>
  <c r="I17" i="65" s="1"/>
  <c r="I20" i="65" s="1"/>
  <c r="K4" i="65"/>
  <c r="J5" i="65"/>
  <c r="J11" i="65"/>
  <c r="J12" i="65" s="1"/>
  <c r="J13" i="65" s="1"/>
  <c r="J14" i="65" s="1"/>
  <c r="J15" i="65" s="1"/>
  <c r="J25" i="65" s="1"/>
  <c r="K12" i="66" s="1"/>
  <c r="L12" i="74" s="1"/>
  <c r="J8" i="65"/>
  <c r="J9" i="65" s="1"/>
  <c r="J10" i="65" s="1"/>
  <c r="H21" i="65" l="1"/>
  <c r="I10" i="66" s="1"/>
  <c r="J10" i="74" s="1"/>
  <c r="Q60" i="64"/>
  <c r="Q62" i="64" s="1"/>
  <c r="M8" i="66" s="1"/>
  <c r="H14" i="74" s="1"/>
  <c r="S58" i="64"/>
  <c r="R59" i="64"/>
  <c r="I21" i="65"/>
  <c r="J10" i="66" s="1"/>
  <c r="J11" i="74" s="1"/>
  <c r="J6" i="65"/>
  <c r="J16" i="65" s="1"/>
  <c r="J19" i="65" s="1"/>
  <c r="J7" i="65"/>
  <c r="J17" i="65" s="1"/>
  <c r="J20" i="65" s="1"/>
  <c r="L4" i="65"/>
  <c r="K5" i="65"/>
  <c r="K8" i="65"/>
  <c r="K9" i="65" s="1"/>
  <c r="K10" i="65" s="1"/>
  <c r="K11" i="65"/>
  <c r="K12" i="65" s="1"/>
  <c r="K13" i="65" s="1"/>
  <c r="K14" i="65" s="1"/>
  <c r="K15" i="65" s="1"/>
  <c r="K25" i="65" s="1"/>
  <c r="L12" i="66" s="1"/>
  <c r="L13" i="74" s="1"/>
  <c r="R60" i="64" l="1"/>
  <c r="R62" i="64" s="1"/>
  <c r="N8" i="66" s="1"/>
  <c r="H15" i="74" s="1"/>
  <c r="T58" i="64"/>
  <c r="S59" i="64"/>
  <c r="J21" i="65"/>
  <c r="K10" i="66" s="1"/>
  <c r="J12" i="74" s="1"/>
  <c r="M4" i="65"/>
  <c r="L8" i="65"/>
  <c r="L9" i="65" s="1"/>
  <c r="L10" i="65" s="1"/>
  <c r="L5" i="65"/>
  <c r="L11" i="65"/>
  <c r="L12" i="65" s="1"/>
  <c r="L13" i="65" s="1"/>
  <c r="L14" i="65" s="1"/>
  <c r="L15" i="65" s="1"/>
  <c r="L25" i="65" s="1"/>
  <c r="M12" i="66" s="1"/>
  <c r="L14" i="74" s="1"/>
  <c r="K6" i="65"/>
  <c r="K16" i="65" s="1"/>
  <c r="K19" i="65" s="1"/>
  <c r="K7" i="65"/>
  <c r="K17" i="65" s="1"/>
  <c r="K20" i="65" s="1"/>
  <c r="S60" i="64" l="1"/>
  <c r="S62" i="64" s="1"/>
  <c r="O8" i="66" s="1"/>
  <c r="H16" i="74" s="1"/>
  <c r="U58" i="64"/>
  <c r="T59" i="64"/>
  <c r="K21" i="65"/>
  <c r="L10" i="66" s="1"/>
  <c r="J13" i="74" s="1"/>
  <c r="L6" i="65"/>
  <c r="L16" i="65" s="1"/>
  <c r="L19" i="65" s="1"/>
  <c r="L7" i="65"/>
  <c r="L17" i="65" s="1"/>
  <c r="L20" i="65" s="1"/>
  <c r="N4" i="65"/>
  <c r="M8" i="65"/>
  <c r="M9" i="65" s="1"/>
  <c r="M10" i="65" s="1"/>
  <c r="M5" i="65"/>
  <c r="M11" i="65"/>
  <c r="M12" i="65" s="1"/>
  <c r="M13" i="65" s="1"/>
  <c r="M14" i="65" s="1"/>
  <c r="M15" i="65" s="1"/>
  <c r="M25" i="65" s="1"/>
  <c r="N12" i="66" s="1"/>
  <c r="L15" i="74" s="1"/>
  <c r="T60" i="64" l="1"/>
  <c r="T62" i="64" s="1"/>
  <c r="P8" i="66" s="1"/>
  <c r="H17" i="74" s="1"/>
  <c r="V58" i="64"/>
  <c r="U59" i="64"/>
  <c r="L21" i="65"/>
  <c r="M10" i="66" s="1"/>
  <c r="J14" i="74" s="1"/>
  <c r="O4" i="65"/>
  <c r="N8" i="65"/>
  <c r="N9" i="65" s="1"/>
  <c r="N10" i="65" s="1"/>
  <c r="N5" i="65"/>
  <c r="N11" i="65"/>
  <c r="N12" i="65" s="1"/>
  <c r="N13" i="65" s="1"/>
  <c r="N14" i="65" s="1"/>
  <c r="N15" i="65" s="1"/>
  <c r="N25" i="65" s="1"/>
  <c r="O12" i="66" s="1"/>
  <c r="L16" i="74" s="1"/>
  <c r="M7" i="65"/>
  <c r="M17" i="65" s="1"/>
  <c r="M20" i="65" s="1"/>
  <c r="M6" i="65"/>
  <c r="M16" i="65" s="1"/>
  <c r="M19" i="65" s="1"/>
  <c r="U60" i="64" l="1"/>
  <c r="U62" i="64" s="1"/>
  <c r="Q8" i="66" s="1"/>
  <c r="H18" i="74" s="1"/>
  <c r="M21" i="65"/>
  <c r="N10" i="66" s="1"/>
  <c r="J15" i="74" s="1"/>
  <c r="W58" i="64"/>
  <c r="V59" i="64"/>
  <c r="N7" i="65"/>
  <c r="N17" i="65" s="1"/>
  <c r="N20" i="65" s="1"/>
  <c r="N6" i="65"/>
  <c r="N16" i="65" s="1"/>
  <c r="N19" i="65" s="1"/>
  <c r="P4" i="65"/>
  <c r="O8" i="65"/>
  <c r="O9" i="65" s="1"/>
  <c r="O10" i="65" s="1"/>
  <c r="O11" i="65"/>
  <c r="O12" i="65" s="1"/>
  <c r="O13" i="65" s="1"/>
  <c r="O14" i="65" s="1"/>
  <c r="O15" i="65" s="1"/>
  <c r="O25" i="65" s="1"/>
  <c r="P12" i="66" s="1"/>
  <c r="L17" i="74" s="1"/>
  <c r="O5" i="65"/>
  <c r="V60" i="64" l="1"/>
  <c r="V62" i="64" s="1"/>
  <c r="R8" i="66" s="1"/>
  <c r="H19" i="74" s="1"/>
  <c r="X58" i="64"/>
  <c r="W59" i="64"/>
  <c r="N21" i="65"/>
  <c r="O10" i="66" s="1"/>
  <c r="J16" i="74" s="1"/>
  <c r="O7" i="65"/>
  <c r="O17" i="65" s="1"/>
  <c r="O20" i="65" s="1"/>
  <c r="O6" i="65"/>
  <c r="O16" i="65" s="1"/>
  <c r="O19" i="65" s="1"/>
  <c r="Q4" i="65"/>
  <c r="P11" i="65"/>
  <c r="P12" i="65" s="1"/>
  <c r="P13" i="65" s="1"/>
  <c r="P14" i="65" s="1"/>
  <c r="P15" i="65" s="1"/>
  <c r="P25" i="65" s="1"/>
  <c r="Q12" i="66" s="1"/>
  <c r="L18" i="74" s="1"/>
  <c r="P8" i="65"/>
  <c r="P9" i="65" s="1"/>
  <c r="P10" i="65" s="1"/>
  <c r="P5" i="65"/>
  <c r="W60" i="64" l="1"/>
  <c r="W62" i="64" s="1"/>
  <c r="S8" i="66" s="1"/>
  <c r="H20" i="74" s="1"/>
  <c r="O21" i="65"/>
  <c r="P10" i="66" s="1"/>
  <c r="J17" i="74" s="1"/>
  <c r="Y58" i="64"/>
  <c r="X59" i="64"/>
  <c r="P6" i="65"/>
  <c r="P16" i="65" s="1"/>
  <c r="P19" i="65" s="1"/>
  <c r="P7" i="65"/>
  <c r="P17" i="65" s="1"/>
  <c r="P20" i="65" s="1"/>
  <c r="R4" i="65"/>
  <c r="Q5" i="65"/>
  <c r="Q11" i="65"/>
  <c r="Q12" i="65" s="1"/>
  <c r="Q13" i="65" s="1"/>
  <c r="Q14" i="65" s="1"/>
  <c r="Q15" i="65" s="1"/>
  <c r="Q25" i="65" s="1"/>
  <c r="R12" i="66" s="1"/>
  <c r="L19" i="74" s="1"/>
  <c r="Q8" i="65"/>
  <c r="Q9" i="65" s="1"/>
  <c r="Q10" i="65" s="1"/>
  <c r="X60" i="64" l="1"/>
  <c r="X62" i="64" s="1"/>
  <c r="T8" i="66" s="1"/>
  <c r="H21" i="74" s="1"/>
  <c r="Z58" i="64"/>
  <c r="Y59" i="64"/>
  <c r="P21" i="65"/>
  <c r="Q10" i="66" s="1"/>
  <c r="J18" i="74" s="1"/>
  <c r="Q6" i="65"/>
  <c r="Q16" i="65" s="1"/>
  <c r="Q19" i="65" s="1"/>
  <c r="Q7" i="65"/>
  <c r="Q17" i="65" s="1"/>
  <c r="Q20" i="65" s="1"/>
  <c r="S4" i="65"/>
  <c r="R5" i="65"/>
  <c r="R11" i="65"/>
  <c r="R12" i="65" s="1"/>
  <c r="R13" i="65" s="1"/>
  <c r="R14" i="65" s="1"/>
  <c r="R15" i="65" s="1"/>
  <c r="R25" i="65" s="1"/>
  <c r="S12" i="66" s="1"/>
  <c r="L20" i="74" s="1"/>
  <c r="R8" i="65"/>
  <c r="R9" i="65" s="1"/>
  <c r="R10" i="65" s="1"/>
  <c r="Y60" i="64" l="1"/>
  <c r="Y62" i="64" s="1"/>
  <c r="U8" i="66" s="1"/>
  <c r="H22" i="74" s="1"/>
  <c r="AA58" i="64"/>
  <c r="Z59" i="64"/>
  <c r="Q21" i="65"/>
  <c r="R10" i="66" s="1"/>
  <c r="J19" i="74" s="1"/>
  <c r="R6" i="65"/>
  <c r="R16" i="65" s="1"/>
  <c r="R19" i="65" s="1"/>
  <c r="R7" i="65"/>
  <c r="R17" i="65" s="1"/>
  <c r="R20" i="65" s="1"/>
  <c r="T4" i="65"/>
  <c r="S5" i="65"/>
  <c r="S11" i="65"/>
  <c r="S8" i="65"/>
  <c r="S9" i="65" l="1"/>
  <c r="S12" i="65"/>
  <c r="Z60" i="64"/>
  <c r="Z62" i="64" s="1"/>
  <c r="V8" i="66" s="1"/>
  <c r="H23" i="74" s="1"/>
  <c r="AB58" i="64"/>
  <c r="AA59" i="64"/>
  <c r="R21" i="65"/>
  <c r="S10" i="66" s="1"/>
  <c r="J20" i="74" s="1"/>
  <c r="U4" i="65"/>
  <c r="T8" i="65"/>
  <c r="T9" i="65" s="1"/>
  <c r="T10" i="65" s="1"/>
  <c r="T5" i="65"/>
  <c r="T11" i="65"/>
  <c r="T12" i="65" s="1"/>
  <c r="T13" i="65" s="1"/>
  <c r="T14" i="65" s="1"/>
  <c r="T15" i="65" s="1"/>
  <c r="T25" i="65" s="1"/>
  <c r="U12" i="66" s="1"/>
  <c r="L22" i="74" s="1"/>
  <c r="S6" i="65"/>
  <c r="S7" i="65"/>
  <c r="S13" i="65" l="1"/>
  <c r="S10" i="65"/>
  <c r="S16" i="65"/>
  <c r="S19" i="65" s="1"/>
  <c r="S17" i="65"/>
  <c r="S20" i="65" s="1"/>
  <c r="AA60" i="64"/>
  <c r="AA62" i="64" s="1"/>
  <c r="W8" i="66" s="1"/>
  <c r="H24" i="74" s="1"/>
  <c r="AC58" i="64"/>
  <c r="AB59" i="64"/>
  <c r="T6" i="65"/>
  <c r="T16" i="65" s="1"/>
  <c r="T19" i="65" s="1"/>
  <c r="T7" i="65"/>
  <c r="T17" i="65" s="1"/>
  <c r="T20" i="65" s="1"/>
  <c r="V4" i="65"/>
  <c r="U8" i="65"/>
  <c r="U5" i="65"/>
  <c r="U11" i="65"/>
  <c r="U9" i="65" l="1"/>
  <c r="S14" i="65"/>
  <c r="U12" i="65"/>
  <c r="S21" i="65"/>
  <c r="T10" i="66" s="1"/>
  <c r="J21" i="74" s="1"/>
  <c r="AB60" i="64"/>
  <c r="AB62" i="64" s="1"/>
  <c r="X8" i="66" s="1"/>
  <c r="H25" i="74" s="1"/>
  <c r="AD58" i="64"/>
  <c r="AC59" i="64"/>
  <c r="T21" i="65"/>
  <c r="U10" i="66" s="1"/>
  <c r="J22" i="74" s="1"/>
  <c r="W4" i="65"/>
  <c r="V8" i="65"/>
  <c r="V9" i="65" s="1"/>
  <c r="V10" i="65" s="1"/>
  <c r="V5" i="65"/>
  <c r="V11" i="65"/>
  <c r="V12" i="65" s="1"/>
  <c r="V13" i="65" s="1"/>
  <c r="V14" i="65" s="1"/>
  <c r="V15" i="65" s="1"/>
  <c r="V25" i="65" s="1"/>
  <c r="W12" i="66" s="1"/>
  <c r="L24" i="74" s="1"/>
  <c r="U7" i="65"/>
  <c r="U6" i="65"/>
  <c r="S15" i="65" l="1"/>
  <c r="U10" i="65"/>
  <c r="U13" i="65"/>
  <c r="U16" i="65"/>
  <c r="U19" i="65" s="1"/>
  <c r="U17" i="65"/>
  <c r="AC60" i="64"/>
  <c r="AC62" i="64" s="1"/>
  <c r="Y8" i="66" s="1"/>
  <c r="H26" i="74" s="1"/>
  <c r="AE58" i="64"/>
  <c r="AD59" i="64"/>
  <c r="V7" i="65"/>
  <c r="V17" i="65" s="1"/>
  <c r="V20" i="65" s="1"/>
  <c r="V6" i="65"/>
  <c r="V16" i="65" s="1"/>
  <c r="V19" i="65" s="1"/>
  <c r="X4" i="65"/>
  <c r="W11" i="65"/>
  <c r="W8" i="65"/>
  <c r="W5" i="65"/>
  <c r="U20" i="65" l="1"/>
  <c r="U14" i="65"/>
  <c r="W12" i="65"/>
  <c r="W9" i="65"/>
  <c r="S25" i="65"/>
  <c r="AD60" i="64"/>
  <c r="AD62" i="64" s="1"/>
  <c r="Z8" i="66" s="1"/>
  <c r="H27" i="74" s="1"/>
  <c r="V21" i="65"/>
  <c r="W10" i="66" s="1"/>
  <c r="J24" i="74" s="1"/>
  <c r="AF58" i="64"/>
  <c r="AE59" i="64"/>
  <c r="W7" i="65"/>
  <c r="W6" i="65"/>
  <c r="Y4" i="65"/>
  <c r="X11" i="65"/>
  <c r="X12" i="65" s="1"/>
  <c r="X13" i="65" s="1"/>
  <c r="X14" i="65" s="1"/>
  <c r="X15" i="65" s="1"/>
  <c r="X25" i="65" s="1"/>
  <c r="Y12" i="66" s="1"/>
  <c r="L26" i="74" s="1"/>
  <c r="X8" i="65"/>
  <c r="X9" i="65" s="1"/>
  <c r="X10" i="65" s="1"/>
  <c r="X5" i="65"/>
  <c r="U21" i="65" l="1"/>
  <c r="W13" i="65"/>
  <c r="T12" i="66"/>
  <c r="L21" i="74" s="1"/>
  <c r="W10" i="65"/>
  <c r="U15" i="65"/>
  <c r="W16" i="65"/>
  <c r="W19" i="65" s="1"/>
  <c r="W17" i="65"/>
  <c r="W20" i="65" s="1"/>
  <c r="AE60" i="64"/>
  <c r="AE62" i="64" s="1"/>
  <c r="AA8" i="66" s="1"/>
  <c r="H28" i="74" s="1"/>
  <c r="AG58" i="64"/>
  <c r="AF59" i="64"/>
  <c r="X6" i="65"/>
  <c r="X16" i="65" s="1"/>
  <c r="X19" i="65" s="1"/>
  <c r="X7" i="65"/>
  <c r="X17" i="65" s="1"/>
  <c r="X20" i="65" s="1"/>
  <c r="Z4" i="65"/>
  <c r="Y11" i="65"/>
  <c r="Y12" i="65" s="1"/>
  <c r="Y13" i="65" s="1"/>
  <c r="Y14" i="65" s="1"/>
  <c r="Y15" i="65" s="1"/>
  <c r="Y25" i="65" s="1"/>
  <c r="Z12" i="66" s="1"/>
  <c r="L27" i="74" s="1"/>
  <c r="Y5" i="65"/>
  <c r="Y8" i="65"/>
  <c r="Y9" i="65" s="1"/>
  <c r="Y10" i="65" s="1"/>
  <c r="V10" i="66" l="1"/>
  <c r="J23" i="74" s="1"/>
  <c r="U25" i="65"/>
  <c r="W14" i="65"/>
  <c r="W21" i="65"/>
  <c r="X10" i="66" s="1"/>
  <c r="J25" i="74" s="1"/>
  <c r="AF60" i="64"/>
  <c r="AF62" i="64" s="1"/>
  <c r="AB8" i="66" s="1"/>
  <c r="H29" i="74" s="1"/>
  <c r="AH58" i="64"/>
  <c r="AG59" i="64"/>
  <c r="X21" i="65"/>
  <c r="Y10" i="66" s="1"/>
  <c r="J26" i="74" s="1"/>
  <c r="AA4" i="65"/>
  <c r="Z5" i="65"/>
  <c r="Z11" i="65"/>
  <c r="Z12" i="65" s="1"/>
  <c r="Z13" i="65" s="1"/>
  <c r="Z14" i="65" s="1"/>
  <c r="Z15" i="65" s="1"/>
  <c r="Z25" i="65" s="1"/>
  <c r="AA12" i="66" s="1"/>
  <c r="L28" i="74" s="1"/>
  <c r="Z8" i="65"/>
  <c r="Z9" i="65" s="1"/>
  <c r="Z10" i="65" s="1"/>
  <c r="Y6" i="65"/>
  <c r="Y16" i="65" s="1"/>
  <c r="Y19" i="65" s="1"/>
  <c r="Y7" i="65"/>
  <c r="Y17" i="65" s="1"/>
  <c r="Y20" i="65" s="1"/>
  <c r="W15" i="65" l="1"/>
  <c r="V12" i="66"/>
  <c r="L23" i="74" s="1"/>
  <c r="AG60" i="64"/>
  <c r="AG62" i="64" s="1"/>
  <c r="AC8" i="66" s="1"/>
  <c r="H30" i="74" s="1"/>
  <c r="AI58" i="64"/>
  <c r="AH59" i="64"/>
  <c r="Y21" i="65"/>
  <c r="Z10" i="66" s="1"/>
  <c r="J27" i="74" s="1"/>
  <c r="Z6" i="65"/>
  <c r="Z16" i="65" s="1"/>
  <c r="Z19" i="65" s="1"/>
  <c r="Z7" i="65"/>
  <c r="Z17" i="65" s="1"/>
  <c r="Z20" i="65" s="1"/>
  <c r="AB4" i="65"/>
  <c r="AA5" i="65"/>
  <c r="AA8" i="65"/>
  <c r="AA9" i="65" s="1"/>
  <c r="AA10" i="65" s="1"/>
  <c r="AA11" i="65"/>
  <c r="AA12" i="65" s="1"/>
  <c r="AA13" i="65" s="1"/>
  <c r="AA14" i="65" s="1"/>
  <c r="AA15" i="65" s="1"/>
  <c r="AA25" i="65" s="1"/>
  <c r="AB12" i="66" s="1"/>
  <c r="L29" i="74" s="1"/>
  <c r="W25" i="65" l="1"/>
  <c r="AH60" i="64"/>
  <c r="AH62" i="64" s="1"/>
  <c r="AD8" i="66" s="1"/>
  <c r="H31" i="74" s="1"/>
  <c r="AJ58" i="64"/>
  <c r="AI59" i="64"/>
  <c r="Z21" i="65"/>
  <c r="AA10" i="66" s="1"/>
  <c r="J28" i="74" s="1"/>
  <c r="AC4" i="65"/>
  <c r="AB8" i="65"/>
  <c r="AB9" i="65" s="1"/>
  <c r="AB10" i="65" s="1"/>
  <c r="AB5" i="65"/>
  <c r="AB11" i="65"/>
  <c r="AB12" i="65" s="1"/>
  <c r="AB13" i="65" s="1"/>
  <c r="AB14" i="65" s="1"/>
  <c r="AB15" i="65" s="1"/>
  <c r="AB25" i="65" s="1"/>
  <c r="AC12" i="66" s="1"/>
  <c r="L30" i="74" s="1"/>
  <c r="AA6" i="65"/>
  <c r="AA16" i="65" s="1"/>
  <c r="AA19" i="65" s="1"/>
  <c r="AA7" i="65"/>
  <c r="AA17" i="65" s="1"/>
  <c r="AA20" i="65" s="1"/>
  <c r="X12" i="66" l="1"/>
  <c r="L25" i="74" s="1"/>
  <c r="AI60" i="64"/>
  <c r="AI62" i="64" s="1"/>
  <c r="AE8" i="66" s="1"/>
  <c r="H32" i="74" s="1"/>
  <c r="AK58" i="64"/>
  <c r="AK59" i="64" s="1"/>
  <c r="AJ59" i="64"/>
  <c r="AA21" i="65"/>
  <c r="AB10" i="66" s="1"/>
  <c r="J29" i="74" s="1"/>
  <c r="AB6" i="65"/>
  <c r="AB16" i="65" s="1"/>
  <c r="AB19" i="65" s="1"/>
  <c r="AB7" i="65"/>
  <c r="AB17" i="65" s="1"/>
  <c r="AB20" i="65" s="1"/>
  <c r="AD4" i="65"/>
  <c r="AC8" i="65"/>
  <c r="AC9" i="65" s="1"/>
  <c r="AC10" i="65" s="1"/>
  <c r="AC5" i="65"/>
  <c r="AC11" i="65"/>
  <c r="AC12" i="65" s="1"/>
  <c r="AC13" i="65" s="1"/>
  <c r="AC14" i="65" s="1"/>
  <c r="AC15" i="65" s="1"/>
  <c r="AC25" i="65" s="1"/>
  <c r="AD12" i="66" s="1"/>
  <c r="L31" i="74" s="1"/>
  <c r="AJ60" i="64" l="1"/>
  <c r="AJ62" i="64" s="1"/>
  <c r="AF8" i="66" s="1"/>
  <c r="H33" i="74" s="1"/>
  <c r="AK60" i="64"/>
  <c r="AK62" i="64" s="1"/>
  <c r="AG8" i="66" s="1"/>
  <c r="H34" i="74" s="1"/>
  <c r="AB21" i="65"/>
  <c r="AC10" i="66" s="1"/>
  <c r="J30" i="74" s="1"/>
  <c r="AE4" i="65"/>
  <c r="AD8" i="65"/>
  <c r="AD9" i="65" s="1"/>
  <c r="AD10" i="65" s="1"/>
  <c r="AD5" i="65"/>
  <c r="AD11" i="65"/>
  <c r="AD12" i="65" s="1"/>
  <c r="AD13" i="65" s="1"/>
  <c r="AD14" i="65" s="1"/>
  <c r="AD15" i="65" s="1"/>
  <c r="AD25" i="65" s="1"/>
  <c r="AE12" i="66" s="1"/>
  <c r="L32" i="74" s="1"/>
  <c r="AC7" i="65"/>
  <c r="AC17" i="65" s="1"/>
  <c r="AC20" i="65" s="1"/>
  <c r="AC6" i="65"/>
  <c r="AC16" i="65" s="1"/>
  <c r="AC19" i="65" s="1"/>
  <c r="C8" i="66" l="1"/>
  <c r="AC21" i="65"/>
  <c r="AD10" i="66" s="1"/>
  <c r="J31" i="74" s="1"/>
  <c r="AD7" i="65"/>
  <c r="AD17" i="65" s="1"/>
  <c r="AD20" i="65" s="1"/>
  <c r="AD6" i="65"/>
  <c r="AD16" i="65" s="1"/>
  <c r="AD19" i="65" s="1"/>
  <c r="AF4" i="65"/>
  <c r="AE11" i="65"/>
  <c r="AE12" i="65" s="1"/>
  <c r="AE13" i="65" s="1"/>
  <c r="AE14" i="65" s="1"/>
  <c r="AE15" i="65" s="1"/>
  <c r="AE25" i="65" s="1"/>
  <c r="AF12" i="66" s="1"/>
  <c r="L33" i="74" s="1"/>
  <c r="AE8" i="65"/>
  <c r="AE9" i="65" s="1"/>
  <c r="AE10" i="65" s="1"/>
  <c r="AE5" i="65"/>
  <c r="H4" i="74" l="1"/>
  <c r="AD21" i="65"/>
  <c r="AE10" i="66" s="1"/>
  <c r="J32" i="74" s="1"/>
  <c r="AF11" i="65"/>
  <c r="AF12" i="65" s="1"/>
  <c r="AF13" i="65" s="1"/>
  <c r="AF14" i="65" s="1"/>
  <c r="AF15" i="65" s="1"/>
  <c r="AF25" i="65" s="1"/>
  <c r="AG12" i="66" s="1"/>
  <c r="L34" i="74" s="1"/>
  <c r="AF8" i="65"/>
  <c r="AF9" i="65" s="1"/>
  <c r="AF10" i="65" s="1"/>
  <c r="AF5" i="65"/>
  <c r="AE7" i="65"/>
  <c r="AE17" i="65" s="1"/>
  <c r="AE20" i="65" s="1"/>
  <c r="AE6" i="65"/>
  <c r="AE16" i="65" s="1"/>
  <c r="AE19" i="65" s="1"/>
  <c r="AE21" i="65" l="1"/>
  <c r="AF10" i="66" s="1"/>
  <c r="J33" i="74" s="1"/>
  <c r="AF6" i="65"/>
  <c r="AF16" i="65" s="1"/>
  <c r="AF19" i="65" s="1"/>
  <c r="AF7" i="65"/>
  <c r="AF17" i="65" s="1"/>
  <c r="AF20" i="65" s="1"/>
  <c r="AF21" i="65" l="1"/>
  <c r="AG10" i="66" s="1"/>
  <c r="J34" i="74" s="1"/>
  <c r="I19" i="58" l="1"/>
  <c r="I13" i="58"/>
  <c r="I17" i="58" s="1"/>
  <c r="I30" i="58"/>
  <c r="I39" i="58"/>
  <c r="H23" i="65" s="1"/>
  <c r="J23" i="65" l="1"/>
  <c r="K11" i="66" s="1"/>
  <c r="K12" i="74" s="1"/>
  <c r="K23" i="65"/>
  <c r="L11" i="66" s="1"/>
  <c r="K13" i="74" s="1"/>
  <c r="I11" i="66"/>
  <c r="K10" i="74" s="1"/>
  <c r="I23" i="65"/>
  <c r="J11" i="66" s="1"/>
  <c r="K11" i="74" s="1"/>
  <c r="L23" i="65"/>
  <c r="M11" i="66" s="1"/>
  <c r="K14" i="74" s="1"/>
  <c r="M23" i="65"/>
  <c r="N11" i="66" s="1"/>
  <c r="K15" i="74" s="1"/>
  <c r="N23" i="65"/>
  <c r="O11" i="66" s="1"/>
  <c r="K16" i="74" s="1"/>
  <c r="O23" i="65"/>
  <c r="P11" i="66" s="1"/>
  <c r="K17" i="74" s="1"/>
  <c r="P23" i="65"/>
  <c r="Q11" i="66" s="1"/>
  <c r="K18" i="74" s="1"/>
  <c r="Q23" i="65"/>
  <c r="R11" i="66" s="1"/>
  <c r="K19" i="74" s="1"/>
  <c r="R23" i="65"/>
  <c r="S11" i="66" s="1"/>
  <c r="K20" i="74" s="1"/>
  <c r="S23" i="65"/>
  <c r="T23" i="65"/>
  <c r="U11" i="66" s="1"/>
  <c r="K22" i="74" s="1"/>
  <c r="U23" i="65"/>
  <c r="V23" i="65"/>
  <c r="W11" i="66" s="1"/>
  <c r="K24" i="74" s="1"/>
  <c r="W23" i="65"/>
  <c r="X23" i="65"/>
  <c r="Y11" i="66" s="1"/>
  <c r="K26" i="74" s="1"/>
  <c r="Y23" i="65"/>
  <c r="Z11" i="66" s="1"/>
  <c r="K27" i="74" s="1"/>
  <c r="Z23" i="65"/>
  <c r="AA11" i="66" s="1"/>
  <c r="K28" i="74" s="1"/>
  <c r="AA23" i="65"/>
  <c r="AB11" i="66" s="1"/>
  <c r="K29" i="74" s="1"/>
  <c r="AB23" i="65"/>
  <c r="AC11" i="66" s="1"/>
  <c r="K30" i="74" s="1"/>
  <c r="AC23" i="65"/>
  <c r="AD11" i="66" s="1"/>
  <c r="K31" i="74" s="1"/>
  <c r="AD23" i="65"/>
  <c r="AE11" i="66" s="1"/>
  <c r="K32" i="74" s="1"/>
  <c r="AE23" i="65"/>
  <c r="AF11" i="66" s="1"/>
  <c r="K33" i="74" s="1"/>
  <c r="AF23" i="65"/>
  <c r="AG11" i="66" s="1"/>
  <c r="K34" i="74" s="1"/>
  <c r="I15" i="58"/>
  <c r="X11" i="66" l="1"/>
  <c r="K25" i="74" s="1"/>
  <c r="V11" i="66"/>
  <c r="K23" i="74" s="1"/>
  <c r="T11" i="66"/>
  <c r="K21" i="74" s="1"/>
  <c r="C3" i="64"/>
  <c r="H13" i="64" s="1"/>
  <c r="J13" i="64" s="1"/>
  <c r="B41" i="59"/>
  <c r="B11" i="57"/>
  <c r="K3" i="73" s="1"/>
  <c r="G162" i="58" l="1"/>
  <c r="G154" i="58"/>
  <c r="C4" i="64"/>
  <c r="B15" i="66"/>
  <c r="O3" i="74" s="1"/>
  <c r="I162" i="58"/>
  <c r="I154" i="58"/>
  <c r="H162" i="58"/>
  <c r="H154" i="58"/>
  <c r="G4" i="59"/>
  <c r="E8" i="64" s="1"/>
  <c r="I10" i="64" l="1"/>
  <c r="I11" i="64"/>
  <c r="I12" i="64"/>
  <c r="I14" i="64"/>
  <c r="J14" i="64" s="1"/>
  <c r="D8" i="64"/>
  <c r="I8" i="64" s="1"/>
  <c r="C8" i="64"/>
  <c r="H8" i="64" s="1"/>
  <c r="G6" i="59"/>
  <c r="E10" i="64" s="1"/>
  <c r="G7" i="59"/>
  <c r="E11" i="64" s="1"/>
  <c r="G8" i="59"/>
  <c r="E12" i="64" s="1"/>
  <c r="D5" i="59"/>
  <c r="E5" i="59"/>
  <c r="C5" i="59"/>
  <c r="C9" i="64" s="1"/>
  <c r="J8" i="64" l="1"/>
  <c r="I9" i="64"/>
  <c r="I16" i="64" s="1"/>
  <c r="I20" i="64" s="1"/>
  <c r="C47" i="59" l="1"/>
  <c r="C42" i="59"/>
  <c r="H29" i="59"/>
  <c r="I58" i="58"/>
  <c r="I50" i="58"/>
  <c r="C37" i="64" l="1"/>
  <c r="AH7" i="57"/>
  <c r="H57" i="59"/>
  <c r="D43" i="64"/>
  <c r="C7" i="57" l="1"/>
  <c r="G4" i="73" s="1"/>
  <c r="G35" i="73"/>
  <c r="I57" i="59"/>
  <c r="J57" i="59" s="1"/>
  <c r="K57" i="59" s="1"/>
  <c r="L57" i="59" s="1"/>
  <c r="M57" i="59" s="1"/>
  <c r="N57" i="59" s="1"/>
  <c r="O57" i="59" s="1"/>
  <c r="P57" i="59" s="1"/>
  <c r="Q57" i="59" s="1"/>
  <c r="R57" i="59" s="1"/>
  <c r="S57" i="59" s="1"/>
  <c r="T57" i="59" s="1"/>
  <c r="U57" i="59" s="1"/>
  <c r="V57" i="59" s="1"/>
  <c r="W57" i="59" s="1"/>
  <c r="X57" i="59" s="1"/>
  <c r="Y57" i="59" s="1"/>
  <c r="Z57" i="59" s="1"/>
  <c r="AA57" i="59" s="1"/>
  <c r="AB57" i="59" s="1"/>
  <c r="AC57" i="59" s="1"/>
  <c r="AD57" i="59" s="1"/>
  <c r="AE57" i="59" s="1"/>
  <c r="AF57" i="59" s="1"/>
  <c r="H19" i="62"/>
  <c r="C12" i="62"/>
  <c r="G16" i="62" s="1"/>
  <c r="C43" i="64"/>
  <c r="C16" i="62" l="1"/>
  <c r="P12" i="71"/>
  <c r="O14" i="71"/>
  <c r="O10" i="71"/>
  <c r="O11" i="71"/>
  <c r="P11" i="71" s="1"/>
  <c r="O9" i="71"/>
  <c r="P9" i="71" s="1"/>
  <c r="B11" i="62"/>
  <c r="B10" i="62"/>
  <c r="P10" i="71" l="1"/>
  <c r="P14" i="71"/>
  <c r="B7" i="62"/>
  <c r="B8" i="62"/>
  <c r="D42" i="64"/>
  <c r="I42" i="64" s="1"/>
  <c r="C42" i="64"/>
  <c r="C48" i="59"/>
  <c r="C53" i="59" s="1"/>
  <c r="C49" i="64" s="1"/>
  <c r="D48" i="59"/>
  <c r="D53" i="59" s="1"/>
  <c r="E47" i="59"/>
  <c r="E43" i="64" s="1"/>
  <c r="M52" i="64" l="1"/>
  <c r="AF19" i="62"/>
  <c r="H20" i="62" l="1"/>
  <c r="S52" i="64"/>
  <c r="W19" i="62"/>
  <c r="S19" i="62"/>
  <c r="O19" i="62"/>
  <c r="O52" i="64"/>
  <c r="K19" i="62"/>
  <c r="AI52" i="64"/>
  <c r="AE52" i="64"/>
  <c r="AA52" i="64"/>
  <c r="AE19" i="62"/>
  <c r="W52" i="64"/>
  <c r="AA19" i="62"/>
  <c r="AD52" i="64"/>
  <c r="V52" i="64"/>
  <c r="N52" i="64"/>
  <c r="AD19" i="62"/>
  <c r="V19" i="62"/>
  <c r="N19" i="62"/>
  <c r="AK52" i="64"/>
  <c r="AC52" i="64"/>
  <c r="U52" i="64"/>
  <c r="AC19" i="62"/>
  <c r="U19" i="62"/>
  <c r="M19" i="62"/>
  <c r="AJ52" i="64"/>
  <c r="AB52" i="64"/>
  <c r="T52" i="64"/>
  <c r="AB19" i="62"/>
  <c r="T19" i="62"/>
  <c r="L19" i="62"/>
  <c r="AH52" i="64"/>
  <c r="Z52" i="64"/>
  <c r="R52" i="64"/>
  <c r="Z19" i="62"/>
  <c r="R19" i="62"/>
  <c r="J19" i="62"/>
  <c r="AG52" i="64"/>
  <c r="Y52" i="64"/>
  <c r="Q52" i="64"/>
  <c r="Y19" i="62"/>
  <c r="Q19" i="62"/>
  <c r="I19" i="62"/>
  <c r="AF52" i="64"/>
  <c r="X52" i="64"/>
  <c r="P52" i="64"/>
  <c r="X19" i="62"/>
  <c r="P19" i="62"/>
  <c r="I43" i="64" l="1"/>
  <c r="D45" i="64"/>
  <c r="I45" i="64" s="1"/>
  <c r="D46" i="64"/>
  <c r="I46" i="64" s="1"/>
  <c r="I44" i="64" s="1"/>
  <c r="D47" i="64"/>
  <c r="I47" i="64" s="1"/>
  <c r="D48" i="64"/>
  <c r="I48" i="64" s="1"/>
  <c r="C45" i="64"/>
  <c r="C46" i="64"/>
  <c r="C47" i="64"/>
  <c r="C48" i="64"/>
  <c r="I49" i="64" l="1"/>
  <c r="H11" i="64"/>
  <c r="J11" i="64" s="1"/>
  <c r="AG15" i="66"/>
  <c r="O34" i="74" s="1"/>
  <c r="AF15" i="66"/>
  <c r="O33" i="74" s="1"/>
  <c r="AE15" i="66"/>
  <c r="O32" i="74" s="1"/>
  <c r="AD15" i="66"/>
  <c r="O31" i="74" s="1"/>
  <c r="AC15" i="66"/>
  <c r="O30" i="74" s="1"/>
  <c r="AB15" i="66"/>
  <c r="O29" i="74" s="1"/>
  <c r="AA15" i="66"/>
  <c r="O28" i="74" s="1"/>
  <c r="Z15" i="66"/>
  <c r="O27" i="74" s="1"/>
  <c r="Y15" i="66"/>
  <c r="O26" i="74" s="1"/>
  <c r="X15" i="66"/>
  <c r="O25" i="74" s="1"/>
  <c r="W15" i="66"/>
  <c r="O24" i="74" s="1"/>
  <c r="V15" i="66"/>
  <c r="O23" i="74" s="1"/>
  <c r="U15" i="66"/>
  <c r="O22" i="74" s="1"/>
  <c r="T15" i="66"/>
  <c r="O21" i="74" s="1"/>
  <c r="S15" i="66"/>
  <c r="O20" i="74" s="1"/>
  <c r="R15" i="66"/>
  <c r="O19" i="74" s="1"/>
  <c r="Q15" i="66"/>
  <c r="O18" i="74" s="1"/>
  <c r="P15" i="66"/>
  <c r="O17" i="74" s="1"/>
  <c r="O15" i="66"/>
  <c r="O16" i="74" s="1"/>
  <c r="N15" i="66"/>
  <c r="O15" i="74" s="1"/>
  <c r="M15" i="66"/>
  <c r="O14" i="74" s="1"/>
  <c r="L15" i="66"/>
  <c r="O13" i="74" s="1"/>
  <c r="K15" i="66"/>
  <c r="O12" i="74" s="1"/>
  <c r="J15" i="66"/>
  <c r="O11" i="74" s="1"/>
  <c r="I15" i="66"/>
  <c r="O10" i="74" s="1"/>
  <c r="H15" i="66"/>
  <c r="O9" i="74" s="1"/>
  <c r="G15" i="66"/>
  <c r="O8" i="74" s="1"/>
  <c r="F15" i="66"/>
  <c r="O7" i="74" s="1"/>
  <c r="E15" i="66"/>
  <c r="O6" i="74" s="1"/>
  <c r="D15" i="66"/>
  <c r="O5" i="74" s="1"/>
  <c r="AG11" i="57"/>
  <c r="E49" i="59"/>
  <c r="E45" i="64" s="1"/>
  <c r="E50" i="59"/>
  <c r="E46" i="64" s="1"/>
  <c r="E51" i="59"/>
  <c r="E47" i="64" s="1"/>
  <c r="E52" i="59"/>
  <c r="E48" i="64" s="1"/>
  <c r="E46" i="59"/>
  <c r="E42" i="64" s="1"/>
  <c r="D44" i="64"/>
  <c r="AH18" i="57" l="1"/>
  <c r="R35" i="73" s="1"/>
  <c r="K34" i="73"/>
  <c r="I23" i="66"/>
  <c r="W10" i="74" s="1"/>
  <c r="T28" i="74"/>
  <c r="AA23" i="66"/>
  <c r="W28" i="74" s="1"/>
  <c r="T21" i="74"/>
  <c r="T23" i="66"/>
  <c r="W21" i="74" s="1"/>
  <c r="T29" i="74"/>
  <c r="AB23" i="66"/>
  <c r="W29" i="74" s="1"/>
  <c r="T22" i="74"/>
  <c r="U23" i="66"/>
  <c r="W22" i="74" s="1"/>
  <c r="T30" i="74"/>
  <c r="AC23" i="66"/>
  <c r="W30" i="74" s="1"/>
  <c r="T15" i="74"/>
  <c r="N23" i="66"/>
  <c r="W15" i="74" s="1"/>
  <c r="T23" i="74"/>
  <c r="V23" i="66"/>
  <c r="W23" i="74" s="1"/>
  <c r="T31" i="74"/>
  <c r="AD23" i="66"/>
  <c r="W31" i="74" s="1"/>
  <c r="T20" i="74"/>
  <c r="S23" i="66"/>
  <c r="W20" i="74" s="1"/>
  <c r="T16" i="74"/>
  <c r="O23" i="66"/>
  <c r="W16" i="74" s="1"/>
  <c r="T32" i="74"/>
  <c r="AE23" i="66"/>
  <c r="W32" i="74" s="1"/>
  <c r="T12" i="74"/>
  <c r="K23" i="66"/>
  <c r="W12" i="74" s="1"/>
  <c r="T14" i="74"/>
  <c r="M23" i="66"/>
  <c r="W14" i="74" s="1"/>
  <c r="T17" i="74"/>
  <c r="P23" i="66"/>
  <c r="W17" i="74" s="1"/>
  <c r="T33" i="74"/>
  <c r="AF23" i="66"/>
  <c r="W33" i="74" s="1"/>
  <c r="T24" i="74"/>
  <c r="W23" i="66"/>
  <c r="W24" i="74" s="1"/>
  <c r="T34" i="74"/>
  <c r="AG23" i="66"/>
  <c r="W34" i="74" s="1"/>
  <c r="T13" i="74"/>
  <c r="L23" i="66"/>
  <c r="W13" i="74" s="1"/>
  <c r="T25" i="74"/>
  <c r="X23" i="66"/>
  <c r="W25" i="74" s="1"/>
  <c r="T18" i="74"/>
  <c r="Q23" i="66"/>
  <c r="W18" i="74" s="1"/>
  <c r="T26" i="74"/>
  <c r="Y23" i="66"/>
  <c r="W26" i="74" s="1"/>
  <c r="T11" i="74"/>
  <c r="J23" i="66"/>
  <c r="W11" i="74" s="1"/>
  <c r="T19" i="74"/>
  <c r="R23" i="66"/>
  <c r="W19" i="74" s="1"/>
  <c r="T27" i="74"/>
  <c r="Z23" i="66"/>
  <c r="W27" i="74" s="1"/>
  <c r="E23" i="66"/>
  <c r="W6" i="74" s="1"/>
  <c r="D23" i="66"/>
  <c r="W5" i="74" s="1"/>
  <c r="F23" i="66"/>
  <c r="W7" i="74" s="1"/>
  <c r="H23" i="66"/>
  <c r="W9" i="74" s="1"/>
  <c r="G23" i="66"/>
  <c r="W8" i="74" s="1"/>
  <c r="T10" i="74"/>
  <c r="H12" i="64"/>
  <c r="J12" i="64" s="1"/>
  <c r="H10" i="64"/>
  <c r="H42" i="64"/>
  <c r="H37" i="64"/>
  <c r="AH7" i="66" s="1"/>
  <c r="G35" i="74" s="1"/>
  <c r="D16" i="62"/>
  <c r="E8" i="57" s="1"/>
  <c r="H6" i="73" s="1"/>
  <c r="I8" i="57"/>
  <c r="H10" i="73" s="1"/>
  <c r="H8" i="57"/>
  <c r="H9" i="73" s="1"/>
  <c r="I20" i="62"/>
  <c r="J8" i="57" s="1"/>
  <c r="H11" i="73" s="1"/>
  <c r="J20" i="62"/>
  <c r="K8" i="57" s="1"/>
  <c r="H12" i="73" s="1"/>
  <c r="P20" i="62"/>
  <c r="Q8" i="57" s="1"/>
  <c r="H18" i="73" s="1"/>
  <c r="O20" i="62"/>
  <c r="P8" i="57" s="1"/>
  <c r="H17" i="73" s="1"/>
  <c r="K20" i="62"/>
  <c r="L8" i="57" s="1"/>
  <c r="H13" i="73" s="1"/>
  <c r="L20" i="62"/>
  <c r="M8" i="57" s="1"/>
  <c r="H14" i="73" s="1"/>
  <c r="M20" i="62"/>
  <c r="N8" i="57" s="1"/>
  <c r="H15" i="73" s="1"/>
  <c r="N20" i="62"/>
  <c r="O8" i="57" s="1"/>
  <c r="H16" i="73" s="1"/>
  <c r="Q20" i="62"/>
  <c r="R8" i="57" s="1"/>
  <c r="H19" i="73" s="1"/>
  <c r="R20" i="62"/>
  <c r="S8" i="57" s="1"/>
  <c r="H20" i="73" s="1"/>
  <c r="S20" i="62"/>
  <c r="T8" i="57" s="1"/>
  <c r="H21" i="73" s="1"/>
  <c r="T20" i="62"/>
  <c r="U8" i="57" s="1"/>
  <c r="H22" i="73" s="1"/>
  <c r="U20" i="62"/>
  <c r="V8" i="57" s="1"/>
  <c r="H23" i="73" s="1"/>
  <c r="V20" i="62"/>
  <c r="W8" i="57" s="1"/>
  <c r="H24" i="73" s="1"/>
  <c r="W20" i="62"/>
  <c r="X8" i="57" s="1"/>
  <c r="H25" i="73" s="1"/>
  <c r="X20" i="62"/>
  <c r="Y8" i="57" s="1"/>
  <c r="H26" i="73" s="1"/>
  <c r="Y20" i="62"/>
  <c r="Z8" i="57" s="1"/>
  <c r="H27" i="73" s="1"/>
  <c r="Z20" i="62"/>
  <c r="AA8" i="57" s="1"/>
  <c r="H28" i="73" s="1"/>
  <c r="AA20" i="62"/>
  <c r="AB8" i="57" s="1"/>
  <c r="H29" i="73" s="1"/>
  <c r="AB20" i="62"/>
  <c r="AC8" i="57" s="1"/>
  <c r="H30" i="73" s="1"/>
  <c r="AC20" i="62"/>
  <c r="AD8" i="57" s="1"/>
  <c r="H31" i="73" s="1"/>
  <c r="AD20" i="62"/>
  <c r="AE8" i="57" s="1"/>
  <c r="H32" i="73" s="1"/>
  <c r="AF20" i="62"/>
  <c r="AG8" i="57" s="1"/>
  <c r="H34" i="73" s="1"/>
  <c r="AE20" i="62"/>
  <c r="AF8" i="57" s="1"/>
  <c r="H33" i="73" s="1"/>
  <c r="C44" i="64"/>
  <c r="D49" i="64"/>
  <c r="H43" i="64"/>
  <c r="J43" i="64" s="1"/>
  <c r="H45" i="64"/>
  <c r="H47" i="64"/>
  <c r="J47" i="64" s="1"/>
  <c r="H48" i="64"/>
  <c r="J48" i="64" s="1"/>
  <c r="H46" i="64"/>
  <c r="J46" i="64" s="1"/>
  <c r="E48" i="59"/>
  <c r="D8" i="57"/>
  <c r="H5" i="73" s="1"/>
  <c r="F16" i="62"/>
  <c r="G8" i="57" s="1"/>
  <c r="H8" i="73" s="1"/>
  <c r="E16" i="62"/>
  <c r="F8" i="57" s="1"/>
  <c r="H7" i="73" s="1"/>
  <c r="F5" i="59"/>
  <c r="D9" i="64" s="1"/>
  <c r="H9" i="64" l="1"/>
  <c r="H16" i="64" s="1"/>
  <c r="H20" i="64" s="1"/>
  <c r="J10" i="64"/>
  <c r="J9" i="64" s="1"/>
  <c r="J16" i="64" s="1"/>
  <c r="J20" i="64" s="1"/>
  <c r="C23" i="66"/>
  <c r="E53" i="59"/>
  <c r="AF58" i="59" s="1"/>
  <c r="E44" i="64"/>
  <c r="E9" i="64"/>
  <c r="AE26" i="66"/>
  <c r="Z32" i="74" s="1"/>
  <c r="Z27" i="66"/>
  <c r="AA27" i="74" s="1"/>
  <c r="J26" i="66"/>
  <c r="Z11" i="74" s="1"/>
  <c r="L26" i="66"/>
  <c r="Z13" i="74" s="1"/>
  <c r="M26" i="66"/>
  <c r="Z14" i="74" s="1"/>
  <c r="AB26" i="66"/>
  <c r="Z29" i="74" s="1"/>
  <c r="X58" i="59"/>
  <c r="S27" i="66"/>
  <c r="AA20" i="74" s="1"/>
  <c r="Y26" i="66"/>
  <c r="Z26" i="74" s="1"/>
  <c r="E26" i="66"/>
  <c r="Z6" i="74" s="1"/>
  <c r="Q26" i="66"/>
  <c r="Z18" i="74" s="1"/>
  <c r="U26" i="66"/>
  <c r="Z22" i="74" s="1"/>
  <c r="AA26" i="66"/>
  <c r="Z28" i="74" s="1"/>
  <c r="J27" i="66"/>
  <c r="AA11" i="74" s="1"/>
  <c r="Z26" i="66"/>
  <c r="Z27" i="74" s="1"/>
  <c r="AC26" i="66"/>
  <c r="Z30" i="74" s="1"/>
  <c r="G27" i="66"/>
  <c r="AA8" i="74" s="1"/>
  <c r="V27" i="66"/>
  <c r="AA23" i="74" s="1"/>
  <c r="F27" i="66"/>
  <c r="AA7" i="74" s="1"/>
  <c r="AF27" i="66"/>
  <c r="AA33" i="74" s="1"/>
  <c r="N26" i="66"/>
  <c r="Z15" i="74" s="1"/>
  <c r="H27" i="66"/>
  <c r="AA9" i="74" s="1"/>
  <c r="X27" i="66"/>
  <c r="AA25" i="74" s="1"/>
  <c r="J42" i="64"/>
  <c r="AG27" i="66"/>
  <c r="AA34" i="74" s="1"/>
  <c r="N27" i="66"/>
  <c r="AA15" i="74" s="1"/>
  <c r="H26" i="66"/>
  <c r="Z9" i="74" s="1"/>
  <c r="E27" i="66"/>
  <c r="AA6" i="74" s="1"/>
  <c r="D27" i="66"/>
  <c r="AA5" i="74" s="1"/>
  <c r="K27" i="66"/>
  <c r="AA12" i="74" s="1"/>
  <c r="AE27" i="66"/>
  <c r="AA32" i="74" s="1"/>
  <c r="P27" i="66"/>
  <c r="AA17" i="74" s="1"/>
  <c r="AD27" i="66"/>
  <c r="AA31" i="74" s="1"/>
  <c r="I27" i="66"/>
  <c r="AA10" i="74" s="1"/>
  <c r="R27" i="66"/>
  <c r="AA19" i="74" s="1"/>
  <c r="L27" i="66"/>
  <c r="AA13" i="74" s="1"/>
  <c r="AB27" i="66"/>
  <c r="AA29" i="74" s="1"/>
  <c r="AA27" i="66"/>
  <c r="AA28" i="74" s="1"/>
  <c r="M27" i="66"/>
  <c r="AA14" i="74" s="1"/>
  <c r="AG26" i="66"/>
  <c r="Z34" i="74" s="1"/>
  <c r="S26" i="66"/>
  <c r="Z20" i="74" s="1"/>
  <c r="X26" i="66"/>
  <c r="Z25" i="74" s="1"/>
  <c r="I26" i="66"/>
  <c r="Z10" i="74" s="1"/>
  <c r="K26" i="66"/>
  <c r="Z12" i="74" s="1"/>
  <c r="P26" i="66"/>
  <c r="T26" i="66"/>
  <c r="Z21" i="74" s="1"/>
  <c r="T27" i="66"/>
  <c r="AA21" i="74" s="1"/>
  <c r="R26" i="66"/>
  <c r="Z19" i="74" s="1"/>
  <c r="Q27" i="66"/>
  <c r="AA18" i="74" s="1"/>
  <c r="AC27" i="66"/>
  <c r="AA30" i="74" s="1"/>
  <c r="O27" i="66"/>
  <c r="AA16" i="74" s="1"/>
  <c r="C12" i="66"/>
  <c r="W27" i="66"/>
  <c r="AA24" i="74" s="1"/>
  <c r="U27" i="66"/>
  <c r="AA22" i="74" s="1"/>
  <c r="Y27" i="66"/>
  <c r="AA26" i="74" s="1"/>
  <c r="F26" i="66"/>
  <c r="Z7" i="74" s="1"/>
  <c r="D26" i="66"/>
  <c r="Z5" i="74" s="1"/>
  <c r="G26" i="66"/>
  <c r="Z8" i="74" s="1"/>
  <c r="O26" i="66"/>
  <c r="V26" i="66"/>
  <c r="Z23" i="74" s="1"/>
  <c r="AF26" i="66"/>
  <c r="Z33" i="74" s="1"/>
  <c r="C11" i="66"/>
  <c r="AD26" i="66"/>
  <c r="Z31" i="74" s="1"/>
  <c r="W26" i="66"/>
  <c r="Z24" i="74" s="1"/>
  <c r="AH22" i="66"/>
  <c r="V35" i="74" s="1"/>
  <c r="I9" i="66"/>
  <c r="I10" i="74" s="1"/>
  <c r="J45" i="64"/>
  <c r="J44" i="64" s="1"/>
  <c r="H44" i="64"/>
  <c r="H49" i="64" s="1"/>
  <c r="C7" i="66"/>
  <c r="G4" i="74" s="1"/>
  <c r="D9" i="66"/>
  <c r="I5" i="74" s="1"/>
  <c r="J49" i="64" l="1"/>
  <c r="E49" i="64"/>
  <c r="D58" i="59"/>
  <c r="E6" i="57" s="1"/>
  <c r="F6" i="73" s="1"/>
  <c r="E58" i="59"/>
  <c r="F6" i="57" s="1"/>
  <c r="F7" i="73" s="1"/>
  <c r="F58" i="59"/>
  <c r="G6" i="57" s="1"/>
  <c r="F8" i="73" s="1"/>
  <c r="C58" i="59"/>
  <c r="D6" i="57" s="1"/>
  <c r="F5" i="73" s="1"/>
  <c r="H58" i="59"/>
  <c r="G58" i="59"/>
  <c r="H6" i="57" s="1"/>
  <c r="F9" i="73" s="1"/>
  <c r="Z16" i="74"/>
  <c r="Z17" i="74"/>
  <c r="W4" i="74"/>
  <c r="L4" i="74"/>
  <c r="K4" i="74"/>
  <c r="C27" i="66"/>
  <c r="AG6" i="57"/>
  <c r="AG19" i="57"/>
  <c r="S34" i="73" s="1"/>
  <c r="AG9" i="66"/>
  <c r="I34" i="74" s="1"/>
  <c r="V58" i="59"/>
  <c r="AC58" i="59"/>
  <c r="M58" i="59"/>
  <c r="N58" i="59"/>
  <c r="AB58" i="59"/>
  <c r="T58" i="59"/>
  <c r="L58" i="59"/>
  <c r="AD58" i="59"/>
  <c r="K58" i="59"/>
  <c r="AE58" i="59"/>
  <c r="Z58" i="59"/>
  <c r="R58" i="59"/>
  <c r="J58" i="59"/>
  <c r="AA58" i="59"/>
  <c r="Y58" i="59"/>
  <c r="U58" i="59"/>
  <c r="S58" i="59"/>
  <c r="Q58" i="59"/>
  <c r="I58" i="59"/>
  <c r="W58" i="59"/>
  <c r="O58" i="59"/>
  <c r="P58" i="59"/>
  <c r="F9" i="66"/>
  <c r="I7" i="74" s="1"/>
  <c r="M9" i="66"/>
  <c r="I14" i="74" s="1"/>
  <c r="AF9" i="66"/>
  <c r="I33" i="74" s="1"/>
  <c r="T9" i="66"/>
  <c r="I21" i="74" s="1"/>
  <c r="E9" i="66"/>
  <c r="I6" i="74" s="1"/>
  <c r="J9" i="66"/>
  <c r="I11" i="74" s="1"/>
  <c r="U9" i="66"/>
  <c r="I22" i="74" s="1"/>
  <c r="AE9" i="66"/>
  <c r="I32" i="74" s="1"/>
  <c r="R9" i="66"/>
  <c r="I19" i="74" s="1"/>
  <c r="Y9" i="66"/>
  <c r="W9" i="66"/>
  <c r="I24" i="74" s="1"/>
  <c r="AC9" i="66"/>
  <c r="I25" i="66"/>
  <c r="Y10" i="74" s="1"/>
  <c r="Z9" i="66"/>
  <c r="Q9" i="66"/>
  <c r="I18" i="74" s="1"/>
  <c r="G9" i="66"/>
  <c r="I8" i="74" s="1"/>
  <c r="L9" i="66"/>
  <c r="I13" i="74" s="1"/>
  <c r="N9" i="66"/>
  <c r="I15" i="74" s="1"/>
  <c r="K9" i="66"/>
  <c r="I12" i="74" s="1"/>
  <c r="H9" i="66"/>
  <c r="I9" i="74" s="1"/>
  <c r="AB9" i="66"/>
  <c r="V9" i="66"/>
  <c r="I23" i="74" s="1"/>
  <c r="X9" i="66"/>
  <c r="S9" i="66"/>
  <c r="I20" i="74" s="1"/>
  <c r="P9" i="66"/>
  <c r="I17" i="74" s="1"/>
  <c r="D25" i="66"/>
  <c r="Y5" i="74" s="1"/>
  <c r="AD9" i="66"/>
  <c r="O9" i="66"/>
  <c r="I16" i="74" s="1"/>
  <c r="AA9" i="66"/>
  <c r="C22" i="66"/>
  <c r="V4" i="74" s="1"/>
  <c r="C18" i="57"/>
  <c r="R4" i="73" s="1"/>
  <c r="C26" i="66"/>
  <c r="C8" i="57"/>
  <c r="H53" i="64" l="1"/>
  <c r="D6" i="66" s="1"/>
  <c r="I53" i="64"/>
  <c r="E6" i="66" s="1"/>
  <c r="J53" i="64"/>
  <c r="F6" i="66" s="1"/>
  <c r="K53" i="64"/>
  <c r="G6" i="66" s="1"/>
  <c r="L53" i="64"/>
  <c r="H6" i="66" s="1"/>
  <c r="AG4" i="57"/>
  <c r="D34" i="73" s="1"/>
  <c r="F34" i="73"/>
  <c r="I31" i="74"/>
  <c r="I30" i="74"/>
  <c r="I29" i="74"/>
  <c r="I28" i="74"/>
  <c r="I27" i="74"/>
  <c r="I26" i="74"/>
  <c r="I25" i="74"/>
  <c r="AA4" i="74"/>
  <c r="Z4" i="74"/>
  <c r="H4" i="73"/>
  <c r="AG25" i="66"/>
  <c r="Y34" i="74" s="1"/>
  <c r="AG24" i="66"/>
  <c r="X34" i="74" s="1"/>
  <c r="C10" i="66"/>
  <c r="AD25" i="66"/>
  <c r="Y31" i="74" s="1"/>
  <c r="T25" i="66"/>
  <c r="Y21" i="74" s="1"/>
  <c r="X25" i="66"/>
  <c r="Y25" i="74" s="1"/>
  <c r="K25" i="66"/>
  <c r="Y12" i="74" s="1"/>
  <c r="Q25" i="66"/>
  <c r="Y18" i="74" s="1"/>
  <c r="W25" i="66"/>
  <c r="Y24" i="74" s="1"/>
  <c r="U25" i="66"/>
  <c r="Y22" i="74" s="1"/>
  <c r="AF25" i="66"/>
  <c r="Y33" i="74" s="1"/>
  <c r="H25" i="66"/>
  <c r="Y9" i="74" s="1"/>
  <c r="D24" i="66"/>
  <c r="X5" i="74" s="1"/>
  <c r="V25" i="66"/>
  <c r="Y23" i="74" s="1"/>
  <c r="N25" i="66"/>
  <c r="Y15" i="74" s="1"/>
  <c r="Z25" i="66"/>
  <c r="Y27" i="74" s="1"/>
  <c r="Y25" i="66"/>
  <c r="Y26" i="74" s="1"/>
  <c r="J25" i="66"/>
  <c r="Y11" i="74" s="1"/>
  <c r="M25" i="66"/>
  <c r="Y14" i="74" s="1"/>
  <c r="AC25" i="66"/>
  <c r="Y30" i="74" s="1"/>
  <c r="S25" i="66"/>
  <c r="Y20" i="74" s="1"/>
  <c r="G25" i="66"/>
  <c r="Y8" i="74" s="1"/>
  <c r="P25" i="66"/>
  <c r="Y17" i="74" s="1"/>
  <c r="AB25" i="66"/>
  <c r="Y29" i="74" s="1"/>
  <c r="L25" i="66"/>
  <c r="Y13" i="74" s="1"/>
  <c r="R25" i="66"/>
  <c r="Y19" i="74" s="1"/>
  <c r="E25" i="66"/>
  <c r="Y6" i="74" s="1"/>
  <c r="F25" i="66"/>
  <c r="Y7" i="74" s="1"/>
  <c r="AE25" i="66"/>
  <c r="Y32" i="74" s="1"/>
  <c r="AA25" i="66"/>
  <c r="Y28" i="74" s="1"/>
  <c r="O25" i="66"/>
  <c r="Y16" i="74" s="1"/>
  <c r="I24" i="66"/>
  <c r="X10" i="74" s="1"/>
  <c r="AF6" i="57"/>
  <c r="N6" i="57"/>
  <c r="T6" i="57"/>
  <c r="X6" i="57"/>
  <c r="I6" i="57"/>
  <c r="L6" i="57"/>
  <c r="P6" i="57"/>
  <c r="J6" i="57"/>
  <c r="Z6" i="57"/>
  <c r="AE6" i="57"/>
  <c r="AC6" i="57"/>
  <c r="AA6" i="57"/>
  <c r="W6" i="57"/>
  <c r="U6" i="57"/>
  <c r="S6" i="57"/>
  <c r="O6" i="57"/>
  <c r="M6" i="57"/>
  <c r="K6" i="57"/>
  <c r="Y6" i="57"/>
  <c r="AD6" i="57"/>
  <c r="R6" i="57"/>
  <c r="Q6" i="57"/>
  <c r="V6" i="57"/>
  <c r="AB6" i="57"/>
  <c r="O53" i="64"/>
  <c r="W53" i="64"/>
  <c r="AE53" i="64"/>
  <c r="V53" i="64"/>
  <c r="P53" i="64"/>
  <c r="X53" i="64"/>
  <c r="AF53" i="64"/>
  <c r="AK53" i="64"/>
  <c r="N53" i="64"/>
  <c r="Q53" i="64"/>
  <c r="Y53" i="64"/>
  <c r="AG53" i="64"/>
  <c r="R53" i="64"/>
  <c r="Z53" i="64"/>
  <c r="AH53" i="64"/>
  <c r="AC53" i="64"/>
  <c r="S53" i="64"/>
  <c r="AA53" i="64"/>
  <c r="AI53" i="64"/>
  <c r="U53" i="64"/>
  <c r="AD53" i="64"/>
  <c r="T53" i="64"/>
  <c r="AB53" i="64"/>
  <c r="AJ53" i="64"/>
  <c r="M53" i="64"/>
  <c r="L4" i="57" l="1"/>
  <c r="D13" i="73" s="1"/>
  <c r="F13" i="73"/>
  <c r="T4" i="57"/>
  <c r="D21" i="73" s="1"/>
  <c r="F21" i="73"/>
  <c r="K4" i="57"/>
  <c r="D12" i="73" s="1"/>
  <c r="F12" i="73"/>
  <c r="AE4" i="57"/>
  <c r="D32" i="73" s="1"/>
  <c r="F32" i="73"/>
  <c r="N4" i="57"/>
  <c r="D15" i="73" s="1"/>
  <c r="F15" i="73"/>
  <c r="F8" i="74"/>
  <c r="G21" i="66"/>
  <c r="U8" i="74" s="1"/>
  <c r="W4" i="57"/>
  <c r="D24" i="73" s="1"/>
  <c r="F24" i="73"/>
  <c r="AA4" i="57"/>
  <c r="D28" i="73" s="1"/>
  <c r="F28" i="73"/>
  <c r="Y4" i="57"/>
  <c r="D26" i="73" s="1"/>
  <c r="F26" i="73"/>
  <c r="M4" i="57"/>
  <c r="D14" i="73" s="1"/>
  <c r="F14" i="73"/>
  <c r="Z4" i="57"/>
  <c r="D27" i="73" s="1"/>
  <c r="F27" i="73"/>
  <c r="AF4" i="57"/>
  <c r="D33" i="73" s="1"/>
  <c r="F33" i="73"/>
  <c r="F7" i="74"/>
  <c r="F21" i="66"/>
  <c r="U7" i="74" s="1"/>
  <c r="Q4" i="57"/>
  <c r="D18" i="73" s="1"/>
  <c r="F18" i="73"/>
  <c r="AD4" i="57"/>
  <c r="D31" i="73" s="1"/>
  <c r="F31" i="73"/>
  <c r="AC4" i="57"/>
  <c r="D30" i="73" s="1"/>
  <c r="F30" i="73"/>
  <c r="O4" i="57"/>
  <c r="D16" i="73" s="1"/>
  <c r="F16" i="73"/>
  <c r="J4" i="57"/>
  <c r="D11" i="73" s="1"/>
  <c r="F11" i="73"/>
  <c r="AG9" i="57"/>
  <c r="I34" i="73" s="1"/>
  <c r="F6" i="74"/>
  <c r="E21" i="66"/>
  <c r="U6" i="74" s="1"/>
  <c r="U4" i="57"/>
  <c r="D22" i="73" s="1"/>
  <c r="F22" i="73"/>
  <c r="R4" i="57"/>
  <c r="D19" i="73" s="1"/>
  <c r="F19" i="73"/>
  <c r="I4" i="57"/>
  <c r="D10" i="73" s="1"/>
  <c r="F10" i="73"/>
  <c r="X4" i="57"/>
  <c r="D25" i="73" s="1"/>
  <c r="F25" i="73"/>
  <c r="F9" i="74"/>
  <c r="H21" i="66"/>
  <c r="U9" i="74" s="1"/>
  <c r="AB4" i="57"/>
  <c r="D29" i="73" s="1"/>
  <c r="F29" i="73"/>
  <c r="V4" i="57"/>
  <c r="D23" i="73" s="1"/>
  <c r="F23" i="73"/>
  <c r="S4" i="57"/>
  <c r="D20" i="73" s="1"/>
  <c r="F20" i="73"/>
  <c r="P4" i="57"/>
  <c r="D17" i="73" s="1"/>
  <c r="F17" i="73"/>
  <c r="F5" i="74"/>
  <c r="D21" i="66"/>
  <c r="U5" i="74" s="1"/>
  <c r="J4" i="74"/>
  <c r="C25" i="66"/>
  <c r="C9" i="66"/>
  <c r="AA24" i="66"/>
  <c r="X28" i="74" s="1"/>
  <c r="V24" i="66"/>
  <c r="X23" i="74" s="1"/>
  <c r="K24" i="66"/>
  <c r="X12" i="74" s="1"/>
  <c r="G24" i="66"/>
  <c r="X8" i="74" s="1"/>
  <c r="Y24" i="66"/>
  <c r="X26" i="74" s="1"/>
  <c r="U24" i="66"/>
  <c r="X22" i="74" s="1"/>
  <c r="X24" i="66"/>
  <c r="X25" i="74" s="1"/>
  <c r="R24" i="66"/>
  <c r="X19" i="74" s="1"/>
  <c r="S24" i="66"/>
  <c r="X20" i="74" s="1"/>
  <c r="AE24" i="66"/>
  <c r="X32" i="74" s="1"/>
  <c r="AB24" i="66"/>
  <c r="X29" i="74" s="1"/>
  <c r="Z24" i="66"/>
  <c r="X27" i="74" s="1"/>
  <c r="W24" i="66"/>
  <c r="X24" i="74" s="1"/>
  <c r="T24" i="66"/>
  <c r="X21" i="74" s="1"/>
  <c r="AF24" i="66"/>
  <c r="X33" i="74" s="1"/>
  <c r="AC24" i="66"/>
  <c r="X30" i="74" s="1"/>
  <c r="O24" i="66"/>
  <c r="X16" i="74" s="1"/>
  <c r="P24" i="66"/>
  <c r="X17" i="74" s="1"/>
  <c r="M24" i="66"/>
  <c r="X14" i="74" s="1"/>
  <c r="N24" i="66"/>
  <c r="X15" i="74" s="1"/>
  <c r="H24" i="66"/>
  <c r="X9" i="74" s="1"/>
  <c r="J24" i="66"/>
  <c r="X11" i="74" s="1"/>
  <c r="L24" i="66"/>
  <c r="X13" i="74" s="1"/>
  <c r="F24" i="66"/>
  <c r="X7" i="74" s="1"/>
  <c r="E24" i="66"/>
  <c r="X6" i="74" s="1"/>
  <c r="Q24" i="66"/>
  <c r="X18" i="74" s="1"/>
  <c r="AD24" i="66"/>
  <c r="X31" i="74" s="1"/>
  <c r="W6" i="66"/>
  <c r="M6" i="66"/>
  <c r="S6" i="66"/>
  <c r="AF6" i="66"/>
  <c r="Y6" i="66"/>
  <c r="AG6" i="66"/>
  <c r="C6" i="57"/>
  <c r="F4" i="73" s="1"/>
  <c r="J6" i="66"/>
  <c r="AB6" i="66"/>
  <c r="K6" i="66"/>
  <c r="P6" i="66"/>
  <c r="V6" i="66"/>
  <c r="T6" i="66"/>
  <c r="X6" i="66"/>
  <c r="N6" i="66"/>
  <c r="O6" i="66"/>
  <c r="AD6" i="66"/>
  <c r="Q6" i="66"/>
  <c r="AC6" i="66"/>
  <c r="R6" i="66"/>
  <c r="I6" i="66"/>
  <c r="Z6" i="66"/>
  <c r="L6" i="66"/>
  <c r="AE6" i="66"/>
  <c r="U6" i="66"/>
  <c r="AA6" i="66"/>
  <c r="F11" i="57"/>
  <c r="K7" i="73" s="1"/>
  <c r="G11" i="57"/>
  <c r="K8" i="73" s="1"/>
  <c r="H11" i="57"/>
  <c r="K9" i="73" s="1"/>
  <c r="I11" i="57"/>
  <c r="J11" i="57"/>
  <c r="K11" i="73" s="1"/>
  <c r="K11" i="57"/>
  <c r="K12" i="73" s="1"/>
  <c r="L11" i="57"/>
  <c r="K13" i="73" s="1"/>
  <c r="M11" i="57"/>
  <c r="K14" i="73" s="1"/>
  <c r="N11" i="57"/>
  <c r="K15" i="73" s="1"/>
  <c r="O11" i="57"/>
  <c r="K16" i="73" s="1"/>
  <c r="P11" i="57"/>
  <c r="K17" i="73" s="1"/>
  <c r="Q11" i="57"/>
  <c r="K18" i="73" s="1"/>
  <c r="R11" i="57"/>
  <c r="K19" i="73" s="1"/>
  <c r="S11" i="57"/>
  <c r="K20" i="73" s="1"/>
  <c r="T11" i="57"/>
  <c r="K21" i="73" s="1"/>
  <c r="U11" i="57"/>
  <c r="K22" i="73" s="1"/>
  <c r="V11" i="57"/>
  <c r="K23" i="73" s="1"/>
  <c r="W11" i="57"/>
  <c r="K24" i="73" s="1"/>
  <c r="X11" i="57"/>
  <c r="K25" i="73" s="1"/>
  <c r="Y11" i="57"/>
  <c r="K26" i="73" s="1"/>
  <c r="Z11" i="57"/>
  <c r="K27" i="73" s="1"/>
  <c r="AA11" i="57"/>
  <c r="K28" i="73" s="1"/>
  <c r="AB11" i="57"/>
  <c r="K29" i="73" s="1"/>
  <c r="AC11" i="57"/>
  <c r="K30" i="73" s="1"/>
  <c r="AD11" i="57"/>
  <c r="K31" i="73" s="1"/>
  <c r="AE11" i="57"/>
  <c r="K32" i="73" s="1"/>
  <c r="AF11" i="57"/>
  <c r="K33" i="73" s="1"/>
  <c r="E11" i="57"/>
  <c r="K6" i="73" s="1"/>
  <c r="D11" i="57"/>
  <c r="K5" i="73" s="1"/>
  <c r="AG20" i="57" l="1"/>
  <c r="T34" i="73" s="1"/>
  <c r="I4" i="66"/>
  <c r="D10" i="74" s="1"/>
  <c r="F10" i="74"/>
  <c r="T4" i="66"/>
  <c r="D21" i="74" s="1"/>
  <c r="F21" i="74"/>
  <c r="Y4" i="66"/>
  <c r="D26" i="74" s="1"/>
  <c r="F26" i="74"/>
  <c r="R4" i="66"/>
  <c r="D19" i="74" s="1"/>
  <c r="F19" i="74"/>
  <c r="V4" i="66"/>
  <c r="D23" i="74" s="1"/>
  <c r="F23" i="74"/>
  <c r="AF4" i="66"/>
  <c r="D33" i="74" s="1"/>
  <c r="F33" i="74"/>
  <c r="P4" i="66"/>
  <c r="D17" i="74" s="1"/>
  <c r="F17" i="74"/>
  <c r="AA4" i="66"/>
  <c r="D28" i="74" s="1"/>
  <c r="F28" i="74"/>
  <c r="U4" i="66"/>
  <c r="D22" i="74" s="1"/>
  <c r="F22" i="74"/>
  <c r="AD4" i="66"/>
  <c r="D31" i="74" s="1"/>
  <c r="F31" i="74"/>
  <c r="AB4" i="66"/>
  <c r="D29" i="74" s="1"/>
  <c r="F29" i="74"/>
  <c r="W4" i="66"/>
  <c r="D24" i="74" s="1"/>
  <c r="F24" i="74"/>
  <c r="K4" i="66"/>
  <c r="D12" i="74" s="1"/>
  <c r="F12" i="74"/>
  <c r="AE4" i="66"/>
  <c r="D32" i="74" s="1"/>
  <c r="F32" i="74"/>
  <c r="O4" i="66"/>
  <c r="D16" i="74" s="1"/>
  <c r="F16" i="74"/>
  <c r="J4" i="66"/>
  <c r="D11" i="74" s="1"/>
  <c r="F11" i="74"/>
  <c r="AC4" i="66"/>
  <c r="D30" i="74" s="1"/>
  <c r="F30" i="74"/>
  <c r="Q4" i="66"/>
  <c r="D18" i="74" s="1"/>
  <c r="F18" i="74"/>
  <c r="L4" i="66"/>
  <c r="D13" i="74" s="1"/>
  <c r="F13" i="74"/>
  <c r="N4" i="66"/>
  <c r="D15" i="74" s="1"/>
  <c r="F15" i="74"/>
  <c r="S4" i="66"/>
  <c r="D20" i="74" s="1"/>
  <c r="F20" i="74"/>
  <c r="M4" i="66"/>
  <c r="D14" i="74" s="1"/>
  <c r="F14" i="74"/>
  <c r="Z4" i="66"/>
  <c r="D27" i="74" s="1"/>
  <c r="F27" i="74"/>
  <c r="X4" i="66"/>
  <c r="D25" i="74" s="1"/>
  <c r="F25" i="74"/>
  <c r="AG4" i="66"/>
  <c r="D34" i="74" s="1"/>
  <c r="F34" i="74"/>
  <c r="Y4" i="74"/>
  <c r="I4" i="74"/>
  <c r="I19" i="57"/>
  <c r="S10" i="73" s="1"/>
  <c r="K10" i="73"/>
  <c r="AE21" i="66"/>
  <c r="U32" i="74" s="1"/>
  <c r="AC21" i="66"/>
  <c r="U30" i="74" s="1"/>
  <c r="L21" i="66"/>
  <c r="U13" i="74" s="1"/>
  <c r="AF21" i="66"/>
  <c r="U33" i="74" s="1"/>
  <c r="O21" i="66"/>
  <c r="U16" i="74" s="1"/>
  <c r="J21" i="66"/>
  <c r="U11" i="74" s="1"/>
  <c r="W21" i="66"/>
  <c r="U24" i="74" s="1"/>
  <c r="Y21" i="66"/>
  <c r="U26" i="74" s="1"/>
  <c r="C24" i="66"/>
  <c r="S21" i="66"/>
  <c r="U20" i="74" s="1"/>
  <c r="K21" i="66"/>
  <c r="U12" i="74" s="1"/>
  <c r="M21" i="66"/>
  <c r="U14" i="74" s="1"/>
  <c r="Z21" i="66"/>
  <c r="U27" i="74" s="1"/>
  <c r="U21" i="66"/>
  <c r="U22" i="74" s="1"/>
  <c r="V21" i="66"/>
  <c r="U23" i="74" s="1"/>
  <c r="P21" i="66"/>
  <c r="U17" i="74" s="1"/>
  <c r="AD21" i="66"/>
  <c r="U31" i="74" s="1"/>
  <c r="I21" i="66"/>
  <c r="U10" i="74" s="1"/>
  <c r="AA21" i="66"/>
  <c r="U28" i="74" s="1"/>
  <c r="N21" i="66"/>
  <c r="U15" i="74" s="1"/>
  <c r="T21" i="66"/>
  <c r="U21" i="74" s="1"/>
  <c r="X21" i="66"/>
  <c r="U25" i="74" s="1"/>
  <c r="Q21" i="66"/>
  <c r="U18" i="74" s="1"/>
  <c r="AG21" i="66"/>
  <c r="U34" i="74" s="1"/>
  <c r="V9" i="57"/>
  <c r="AB9" i="57"/>
  <c r="AD9" i="57"/>
  <c r="W9" i="57"/>
  <c r="R9" i="57"/>
  <c r="T9" i="57"/>
  <c r="X9" i="57"/>
  <c r="I9" i="57"/>
  <c r="L9" i="57"/>
  <c r="AF9" i="57"/>
  <c r="N9" i="57"/>
  <c r="Z9" i="57"/>
  <c r="AE9" i="57"/>
  <c r="AC9" i="57"/>
  <c r="AA9" i="57"/>
  <c r="P9" i="57"/>
  <c r="J9" i="57"/>
  <c r="I11" i="73" s="1"/>
  <c r="AB21" i="66"/>
  <c r="U29" i="74" s="1"/>
  <c r="R21" i="66"/>
  <c r="U19" i="74" s="1"/>
  <c r="C6" i="66"/>
  <c r="F4" i="74" s="1"/>
  <c r="O9" i="57"/>
  <c r="M9" i="57"/>
  <c r="K9" i="57"/>
  <c r="Y9" i="57"/>
  <c r="U9" i="57"/>
  <c r="S9" i="57"/>
  <c r="Q9" i="57"/>
  <c r="I15" i="57"/>
  <c r="O10" i="73" s="1"/>
  <c r="P26" i="73"/>
  <c r="Y19" i="57"/>
  <c r="S26" i="73" s="1"/>
  <c r="Y17" i="57"/>
  <c r="Q26" i="73" s="1"/>
  <c r="Y15" i="57"/>
  <c r="O26" i="73" s="1"/>
  <c r="P18" i="73"/>
  <c r="Q19" i="57"/>
  <c r="S18" i="73" s="1"/>
  <c r="Q17" i="57"/>
  <c r="Q18" i="73" s="1"/>
  <c r="Q15" i="57"/>
  <c r="O18" i="73" s="1"/>
  <c r="P33" i="73"/>
  <c r="AF19" i="57"/>
  <c r="S33" i="73" s="1"/>
  <c r="AF17" i="57"/>
  <c r="Q33" i="73" s="1"/>
  <c r="AF15" i="57"/>
  <c r="O33" i="73" s="1"/>
  <c r="P25" i="73"/>
  <c r="X19" i="57"/>
  <c r="S25" i="73" s="1"/>
  <c r="X17" i="57"/>
  <c r="Q25" i="73" s="1"/>
  <c r="X15" i="57"/>
  <c r="O25" i="73" s="1"/>
  <c r="P17" i="73"/>
  <c r="P19" i="57"/>
  <c r="S17" i="73" s="1"/>
  <c r="P17" i="57"/>
  <c r="Q17" i="73" s="1"/>
  <c r="P15" i="57"/>
  <c r="O17" i="73" s="1"/>
  <c r="H17" i="57"/>
  <c r="Q9" i="73" s="1"/>
  <c r="H19" i="57"/>
  <c r="S9" i="73" s="1"/>
  <c r="P34" i="73"/>
  <c r="AG17" i="57"/>
  <c r="Q34" i="73" s="1"/>
  <c r="AG15" i="57"/>
  <c r="O34" i="73" s="1"/>
  <c r="P32" i="73"/>
  <c r="AE17" i="57"/>
  <c r="Q32" i="73" s="1"/>
  <c r="AE19" i="57"/>
  <c r="S32" i="73" s="1"/>
  <c r="AE15" i="57"/>
  <c r="O32" i="73" s="1"/>
  <c r="P24" i="73"/>
  <c r="W19" i="57"/>
  <c r="S24" i="73" s="1"/>
  <c r="W15" i="57"/>
  <c r="O24" i="73" s="1"/>
  <c r="W17" i="57"/>
  <c r="Q24" i="73" s="1"/>
  <c r="P16" i="73"/>
  <c r="O19" i="57"/>
  <c r="S16" i="73" s="1"/>
  <c r="O15" i="57"/>
  <c r="O16" i="73" s="1"/>
  <c r="O17" i="57"/>
  <c r="Q16" i="73" s="1"/>
  <c r="G17" i="57"/>
  <c r="Q8" i="73" s="1"/>
  <c r="G19" i="57"/>
  <c r="S8" i="73" s="1"/>
  <c r="P15" i="73"/>
  <c r="N19" i="57"/>
  <c r="S15" i="73" s="1"/>
  <c r="N15" i="57"/>
  <c r="O15" i="73" s="1"/>
  <c r="N17" i="57"/>
  <c r="Q15" i="73" s="1"/>
  <c r="F17" i="57"/>
  <c r="Q7" i="73" s="1"/>
  <c r="F19" i="57"/>
  <c r="S7" i="73" s="1"/>
  <c r="P22" i="73"/>
  <c r="U17" i="57"/>
  <c r="Q22" i="73" s="1"/>
  <c r="U19" i="57"/>
  <c r="S22" i="73" s="1"/>
  <c r="U15" i="57"/>
  <c r="O22" i="73" s="1"/>
  <c r="P14" i="73"/>
  <c r="M17" i="57"/>
  <c r="Q14" i="73" s="1"/>
  <c r="M19" i="57"/>
  <c r="S14" i="73" s="1"/>
  <c r="M15" i="57"/>
  <c r="O14" i="73" s="1"/>
  <c r="P23" i="73"/>
  <c r="V19" i="57"/>
  <c r="S23" i="73" s="1"/>
  <c r="V17" i="57"/>
  <c r="Q23" i="73" s="1"/>
  <c r="V15" i="57"/>
  <c r="O23" i="73" s="1"/>
  <c r="AB19" i="57"/>
  <c r="S29" i="73" s="1"/>
  <c r="P29" i="73"/>
  <c r="AB17" i="57"/>
  <c r="Q29" i="73" s="1"/>
  <c r="AB15" i="57"/>
  <c r="O29" i="73" s="1"/>
  <c r="P21" i="73"/>
  <c r="T19" i="57"/>
  <c r="S21" i="73" s="1"/>
  <c r="T17" i="57"/>
  <c r="Q21" i="73" s="1"/>
  <c r="T15" i="57"/>
  <c r="O21" i="73" s="1"/>
  <c r="L19" i="57"/>
  <c r="S13" i="73" s="1"/>
  <c r="P13" i="73"/>
  <c r="L17" i="57"/>
  <c r="Q13" i="73" s="1"/>
  <c r="L15" i="57"/>
  <c r="O13" i="73" s="1"/>
  <c r="P30" i="73"/>
  <c r="AC17" i="57"/>
  <c r="Q30" i="73" s="1"/>
  <c r="AC19" i="57"/>
  <c r="S30" i="73" s="1"/>
  <c r="AC15" i="57"/>
  <c r="O30" i="73" s="1"/>
  <c r="D17" i="57"/>
  <c r="Q5" i="73" s="1"/>
  <c r="D19" i="57"/>
  <c r="S5" i="73" s="1"/>
  <c r="P28" i="73"/>
  <c r="AA19" i="57"/>
  <c r="S28" i="73" s="1"/>
  <c r="AA15" i="57"/>
  <c r="O28" i="73" s="1"/>
  <c r="AA17" i="57"/>
  <c r="Q28" i="73" s="1"/>
  <c r="P20" i="73"/>
  <c r="S17" i="57"/>
  <c r="Q20" i="73" s="1"/>
  <c r="S19" i="57"/>
  <c r="S20" i="73" s="1"/>
  <c r="S15" i="57"/>
  <c r="O20" i="73" s="1"/>
  <c r="P12" i="73"/>
  <c r="K15" i="57"/>
  <c r="O12" i="73" s="1"/>
  <c r="K17" i="57"/>
  <c r="Q12" i="73" s="1"/>
  <c r="K19" i="57"/>
  <c r="S12" i="73" s="1"/>
  <c r="P31" i="73"/>
  <c r="AD19" i="57"/>
  <c r="S31" i="73" s="1"/>
  <c r="AD17" i="57"/>
  <c r="Q31" i="73" s="1"/>
  <c r="AD15" i="57"/>
  <c r="O31" i="73" s="1"/>
  <c r="E17" i="57"/>
  <c r="Q6" i="73" s="1"/>
  <c r="E19" i="57"/>
  <c r="S6" i="73" s="1"/>
  <c r="P27" i="73"/>
  <c r="Z19" i="57"/>
  <c r="S27" i="73" s="1"/>
  <c r="Z15" i="57"/>
  <c r="O27" i="73" s="1"/>
  <c r="Z17" i="57"/>
  <c r="Q27" i="73" s="1"/>
  <c r="P19" i="73"/>
  <c r="R19" i="57"/>
  <c r="S19" i="73" s="1"/>
  <c r="R15" i="57"/>
  <c r="O19" i="73" s="1"/>
  <c r="R17" i="57"/>
  <c r="Q19" i="73" s="1"/>
  <c r="P11" i="73"/>
  <c r="J19" i="57"/>
  <c r="S11" i="73" s="1"/>
  <c r="J17" i="57"/>
  <c r="Q11" i="73" s="1"/>
  <c r="J15" i="57"/>
  <c r="O11" i="73" s="1"/>
  <c r="P10" i="73"/>
  <c r="I17" i="57"/>
  <c r="Q10" i="73" s="1"/>
  <c r="I19" i="66" l="1"/>
  <c r="S10" i="74" s="1"/>
  <c r="I13" i="66"/>
  <c r="AG19" i="66"/>
  <c r="S34" i="74" s="1"/>
  <c r="X4" i="74"/>
  <c r="AF20" i="57"/>
  <c r="T33" i="73" s="1"/>
  <c r="I33" i="73"/>
  <c r="AE20" i="57"/>
  <c r="T32" i="73" s="1"/>
  <c r="I32" i="73"/>
  <c r="AD20" i="57"/>
  <c r="T31" i="73" s="1"/>
  <c r="I31" i="73"/>
  <c r="AC20" i="57"/>
  <c r="T30" i="73" s="1"/>
  <c r="I30" i="73"/>
  <c r="AB20" i="57"/>
  <c r="T29" i="73" s="1"/>
  <c r="I29" i="73"/>
  <c r="AA20" i="57"/>
  <c r="T28" i="73" s="1"/>
  <c r="I28" i="73"/>
  <c r="Z20" i="57"/>
  <c r="T27" i="73" s="1"/>
  <c r="I27" i="73"/>
  <c r="Y20" i="57"/>
  <c r="T26" i="73" s="1"/>
  <c r="I26" i="73"/>
  <c r="X20" i="57"/>
  <c r="T25" i="73" s="1"/>
  <c r="I25" i="73"/>
  <c r="W20" i="57"/>
  <c r="T24" i="73" s="1"/>
  <c r="I24" i="73"/>
  <c r="V20" i="57"/>
  <c r="T23" i="73" s="1"/>
  <c r="I23" i="73"/>
  <c r="U20" i="57"/>
  <c r="T22" i="73" s="1"/>
  <c r="I22" i="73"/>
  <c r="T20" i="57"/>
  <c r="T21" i="73" s="1"/>
  <c r="I21" i="73"/>
  <c r="S20" i="57"/>
  <c r="T20" i="73" s="1"/>
  <c r="I20" i="73"/>
  <c r="R20" i="57"/>
  <c r="T19" i="73" s="1"/>
  <c r="I19" i="73"/>
  <c r="Q20" i="57"/>
  <c r="T18" i="73" s="1"/>
  <c r="I18" i="73"/>
  <c r="P20" i="57"/>
  <c r="T17" i="73" s="1"/>
  <c r="I17" i="73"/>
  <c r="O20" i="57"/>
  <c r="T16" i="73" s="1"/>
  <c r="I16" i="73"/>
  <c r="N20" i="57"/>
  <c r="T15" i="73" s="1"/>
  <c r="I15" i="73"/>
  <c r="M20" i="57"/>
  <c r="T14" i="73" s="1"/>
  <c r="I14" i="73"/>
  <c r="L20" i="57"/>
  <c r="T13" i="73" s="1"/>
  <c r="I13" i="73"/>
  <c r="K20" i="57"/>
  <c r="T12" i="73" s="1"/>
  <c r="I12" i="73"/>
  <c r="I20" i="57"/>
  <c r="T10" i="73" s="1"/>
  <c r="I10" i="73"/>
  <c r="AG13" i="66"/>
  <c r="C17" i="57"/>
  <c r="C19" i="57"/>
  <c r="AF19" i="66"/>
  <c r="S33" i="74" s="1"/>
  <c r="AF13" i="66"/>
  <c r="U13" i="66"/>
  <c r="J20" i="57"/>
  <c r="T11" i="73" s="1"/>
  <c r="J13" i="66"/>
  <c r="J19" i="66"/>
  <c r="S11" i="74" s="1"/>
  <c r="Z19" i="66"/>
  <c r="S27" i="74" s="1"/>
  <c r="K19" i="66"/>
  <c r="S12" i="74" s="1"/>
  <c r="K13" i="66"/>
  <c r="N19" i="66"/>
  <c r="S15" i="74" s="1"/>
  <c r="Z13" i="66"/>
  <c r="N13" i="66"/>
  <c r="O19" i="66"/>
  <c r="S16" i="74" s="1"/>
  <c r="X13" i="66"/>
  <c r="S13" i="66"/>
  <c r="W13" i="66"/>
  <c r="S19" i="66"/>
  <c r="S20" i="74" s="1"/>
  <c r="W19" i="66"/>
  <c r="S24" i="74" s="1"/>
  <c r="O13" i="66"/>
  <c r="X19" i="66"/>
  <c r="S25" i="74" s="1"/>
  <c r="U19" i="66"/>
  <c r="S22" i="74" s="1"/>
  <c r="L19" i="66"/>
  <c r="S13" i="74" s="1"/>
  <c r="Q13" i="66"/>
  <c r="Y13" i="66"/>
  <c r="Y19" i="66"/>
  <c r="S26" i="74" s="1"/>
  <c r="Q19" i="66"/>
  <c r="S18" i="74" s="1"/>
  <c r="AC13" i="66"/>
  <c r="AD13" i="66"/>
  <c r="AD19" i="66"/>
  <c r="S31" i="74" s="1"/>
  <c r="AE13" i="66"/>
  <c r="M13" i="66"/>
  <c r="M19" i="66"/>
  <c r="S14" i="74" s="1"/>
  <c r="V13" i="66"/>
  <c r="V19" i="66"/>
  <c r="S23" i="74" s="1"/>
  <c r="AC19" i="66"/>
  <c r="S30" i="74" s="1"/>
  <c r="AB13" i="66"/>
  <c r="AB19" i="66"/>
  <c r="S29" i="74" s="1"/>
  <c r="AA13" i="66"/>
  <c r="AA19" i="66"/>
  <c r="S28" i="74" s="1"/>
  <c r="R19" i="66"/>
  <c r="S19" i="74" s="1"/>
  <c r="AE19" i="66"/>
  <c r="S32" i="74" s="1"/>
  <c r="L13" i="66"/>
  <c r="P13" i="66"/>
  <c r="P19" i="66"/>
  <c r="S17" i="74" s="1"/>
  <c r="C21" i="66"/>
  <c r="T13" i="66"/>
  <c r="T19" i="66"/>
  <c r="S21" i="74" s="1"/>
  <c r="R13" i="66"/>
  <c r="F5" i="57"/>
  <c r="H5" i="57"/>
  <c r="G5" i="57"/>
  <c r="E5" i="57"/>
  <c r="D5" i="57"/>
  <c r="I28" i="66" l="1"/>
  <c r="AB10" i="74" s="1"/>
  <c r="M10" i="74"/>
  <c r="E4" i="57"/>
  <c r="E15" i="57" s="1"/>
  <c r="O6" i="73" s="1"/>
  <c r="E6" i="73"/>
  <c r="G4" i="57"/>
  <c r="D8" i="73" s="1"/>
  <c r="E8" i="73"/>
  <c r="F4" i="57"/>
  <c r="D7" i="73" s="1"/>
  <c r="E7" i="73"/>
  <c r="H4" i="57"/>
  <c r="E9" i="73"/>
  <c r="D4" i="57"/>
  <c r="D5" i="73" s="1"/>
  <c r="E5" i="73"/>
  <c r="AG28" i="66"/>
  <c r="AB34" i="74" s="1"/>
  <c r="M34" i="74"/>
  <c r="AF28" i="66"/>
  <c r="AB33" i="74" s="1"/>
  <c r="M33" i="74"/>
  <c r="AE28" i="66"/>
  <c r="AB32" i="74" s="1"/>
  <c r="M32" i="74"/>
  <c r="AD28" i="66"/>
  <c r="AB31" i="74" s="1"/>
  <c r="M31" i="74"/>
  <c r="AC28" i="66"/>
  <c r="AB30" i="74" s="1"/>
  <c r="M30" i="74"/>
  <c r="AB28" i="66"/>
  <c r="AB29" i="74" s="1"/>
  <c r="M29" i="74"/>
  <c r="AA28" i="66"/>
  <c r="AB28" i="74" s="1"/>
  <c r="M28" i="74"/>
  <c r="Z28" i="66"/>
  <c r="AB27" i="74" s="1"/>
  <c r="M27" i="74"/>
  <c r="Y28" i="66"/>
  <c r="AB26" i="74" s="1"/>
  <c r="M26" i="74"/>
  <c r="X28" i="66"/>
  <c r="AB25" i="74" s="1"/>
  <c r="M25" i="74"/>
  <c r="W28" i="66"/>
  <c r="AB24" i="74" s="1"/>
  <c r="M24" i="74"/>
  <c r="V28" i="66"/>
  <c r="AB23" i="74" s="1"/>
  <c r="M23" i="74"/>
  <c r="U28" i="66"/>
  <c r="AB22" i="74" s="1"/>
  <c r="M22" i="74"/>
  <c r="T28" i="66"/>
  <c r="AB21" i="74" s="1"/>
  <c r="M21" i="74"/>
  <c r="S28" i="66"/>
  <c r="AB20" i="74" s="1"/>
  <c r="M20" i="74"/>
  <c r="R28" i="66"/>
  <c r="AB19" i="74" s="1"/>
  <c r="M19" i="74"/>
  <c r="Q28" i="66"/>
  <c r="AB18" i="74" s="1"/>
  <c r="M18" i="74"/>
  <c r="P28" i="66"/>
  <c r="AB17" i="74" s="1"/>
  <c r="M17" i="74"/>
  <c r="O28" i="66"/>
  <c r="AB16" i="74" s="1"/>
  <c r="M16" i="74"/>
  <c r="N28" i="66"/>
  <c r="AB15" i="74" s="1"/>
  <c r="M15" i="74"/>
  <c r="M28" i="66"/>
  <c r="AB14" i="74" s="1"/>
  <c r="M14" i="74"/>
  <c r="L28" i="66"/>
  <c r="AB13" i="74" s="1"/>
  <c r="M13" i="74"/>
  <c r="K28" i="66"/>
  <c r="AB12" i="74" s="1"/>
  <c r="M12" i="74"/>
  <c r="J28" i="66"/>
  <c r="AB11" i="74" s="1"/>
  <c r="M11" i="74"/>
  <c r="U4" i="74"/>
  <c r="D6" i="73"/>
  <c r="S4" i="73"/>
  <c r="Q4" i="73"/>
  <c r="D27" i="59"/>
  <c r="E27" i="59"/>
  <c r="F27" i="59"/>
  <c r="G27" i="59"/>
  <c r="C27" i="59"/>
  <c r="G16" i="57"/>
  <c r="P8" i="73" s="1"/>
  <c r="H16" i="57"/>
  <c r="P9" i="73" s="1"/>
  <c r="F16" i="57"/>
  <c r="P7" i="73" s="1"/>
  <c r="D16" i="57"/>
  <c r="P5" i="73" s="1"/>
  <c r="C5" i="57"/>
  <c r="E4" i="73" s="1"/>
  <c r="E16" i="57"/>
  <c r="P6" i="73" s="1"/>
  <c r="D9" i="57" l="1"/>
  <c r="I5" i="73" s="1"/>
  <c r="D15" i="57"/>
  <c r="O5" i="73" s="1"/>
  <c r="C23" i="57"/>
  <c r="K146" i="58" s="1"/>
  <c r="D9" i="73"/>
  <c r="C4" i="57"/>
  <c r="D4" i="73" s="1"/>
  <c r="H15" i="57"/>
  <c r="O9" i="73" s="1"/>
  <c r="J31" i="64"/>
  <c r="L31" i="64"/>
  <c r="K31" i="64"/>
  <c r="I31" i="64"/>
  <c r="C16" i="57"/>
  <c r="H27" i="59"/>
  <c r="H31" i="64"/>
  <c r="H32" i="64" s="1"/>
  <c r="H9" i="57"/>
  <c r="E9" i="57"/>
  <c r="F9" i="57"/>
  <c r="F15" i="57"/>
  <c r="O7" i="73" s="1"/>
  <c r="G9" i="57"/>
  <c r="G15" i="57"/>
  <c r="O8" i="73" s="1"/>
  <c r="L32" i="64" l="1"/>
  <c r="H5" i="66" s="1"/>
  <c r="I32" i="64"/>
  <c r="E5" i="66" s="1"/>
  <c r="J32" i="64"/>
  <c r="F5" i="66" s="1"/>
  <c r="G5" i="66"/>
  <c r="G4" i="66" s="1"/>
  <c r="D8" i="74" s="1"/>
  <c r="K32" i="64"/>
  <c r="K162" i="58"/>
  <c r="K154" i="58"/>
  <c r="E38" i="73"/>
  <c r="K114" i="58"/>
  <c r="K130" i="58"/>
  <c r="K106" i="58"/>
  <c r="K58" i="58"/>
  <c r="K138" i="58"/>
  <c r="H20" i="57"/>
  <c r="T9" i="73" s="1"/>
  <c r="I9" i="73"/>
  <c r="G20" i="57"/>
  <c r="T8" i="73" s="1"/>
  <c r="I8" i="73"/>
  <c r="F20" i="57"/>
  <c r="T7" i="73" s="1"/>
  <c r="I7" i="73"/>
  <c r="E20" i="57"/>
  <c r="T6" i="73" s="1"/>
  <c r="I6" i="73"/>
  <c r="P4" i="73"/>
  <c r="C24" i="57"/>
  <c r="E39" i="73" s="1"/>
  <c r="C22" i="57"/>
  <c r="E37" i="73" s="1"/>
  <c r="C15" i="57"/>
  <c r="G20" i="66"/>
  <c r="T8" i="74" s="1"/>
  <c r="M31" i="64"/>
  <c r="K122" i="58"/>
  <c r="K50" i="58"/>
  <c r="K98" i="58"/>
  <c r="K82" i="58"/>
  <c r="K90" i="58"/>
  <c r="K66" i="58"/>
  <c r="K74" i="58"/>
  <c r="C4" i="67"/>
  <c r="D20" i="57"/>
  <c r="T5" i="73" s="1"/>
  <c r="C9" i="57"/>
  <c r="F4" i="66" l="1"/>
  <c r="D7" i="74" s="1"/>
  <c r="E7" i="74"/>
  <c r="F20" i="66"/>
  <c r="T7" i="74" s="1"/>
  <c r="E4" i="66"/>
  <c r="D6" i="74" s="1"/>
  <c r="E6" i="74"/>
  <c r="E20" i="66"/>
  <c r="T6" i="74" s="1"/>
  <c r="H20" i="66"/>
  <c r="T9" i="74" s="1"/>
  <c r="H4" i="66"/>
  <c r="D9" i="74" s="1"/>
  <c r="E9" i="74"/>
  <c r="E8" i="74"/>
  <c r="C20" i="57"/>
  <c r="T4" i="73" s="1"/>
  <c r="O4" i="73"/>
  <c r="I4" i="73"/>
  <c r="E22" i="57"/>
  <c r="J106" i="58"/>
  <c r="J114" i="58"/>
  <c r="L106" i="58"/>
  <c r="L114" i="58"/>
  <c r="L138" i="58"/>
  <c r="L146" i="58"/>
  <c r="J138" i="58"/>
  <c r="J146" i="58"/>
  <c r="L162" i="58"/>
  <c r="L130" i="58"/>
  <c r="J162" i="58"/>
  <c r="J130" i="58"/>
  <c r="E23" i="57"/>
  <c r="J58" i="58"/>
  <c r="J154" i="58"/>
  <c r="L58" i="58"/>
  <c r="L154" i="58"/>
  <c r="G13" i="66"/>
  <c r="G19" i="66"/>
  <c r="S8" i="74" s="1"/>
  <c r="F13" i="66"/>
  <c r="F19" i="66"/>
  <c r="S7" i="74" s="1"/>
  <c r="D5" i="66"/>
  <c r="M32" i="64"/>
  <c r="L122" i="58"/>
  <c r="L50" i="58"/>
  <c r="J122" i="58"/>
  <c r="J50" i="58"/>
  <c r="L90" i="58"/>
  <c r="L82" i="58"/>
  <c r="L74" i="58"/>
  <c r="L66" i="58"/>
  <c r="C5" i="67"/>
  <c r="L98" i="58"/>
  <c r="J98" i="58"/>
  <c r="J82" i="58"/>
  <c r="J90" i="58"/>
  <c r="J66" i="58"/>
  <c r="J74" i="58"/>
  <c r="C3" i="67"/>
  <c r="E13" i="66" l="1"/>
  <c r="E28" i="66" s="1"/>
  <c r="AB6" i="74" s="1"/>
  <c r="E19" i="66"/>
  <c r="S6" i="74" s="1"/>
  <c r="H13" i="66"/>
  <c r="H28" i="66" s="1"/>
  <c r="AB9" i="74" s="1"/>
  <c r="H19" i="66"/>
  <c r="S9" i="74" s="1"/>
  <c r="D4" i="66"/>
  <c r="D5" i="74" s="1"/>
  <c r="E5" i="74"/>
  <c r="G28" i="66"/>
  <c r="AB8" i="74" s="1"/>
  <c r="M8" i="74"/>
  <c r="F28" i="66"/>
  <c r="AB7" i="74" s="1"/>
  <c r="M7" i="74"/>
  <c r="D20" i="66"/>
  <c r="C5" i="66"/>
  <c r="E4" i="74" s="1"/>
  <c r="M9" i="74" l="1"/>
  <c r="M6" i="74"/>
  <c r="C31" i="66"/>
  <c r="E38" i="74" s="1"/>
  <c r="C4" i="66"/>
  <c r="D4" i="74" s="1"/>
  <c r="D19" i="66"/>
  <c r="C19" i="66" s="1"/>
  <c r="C20" i="66"/>
  <c r="T4" i="74" s="1"/>
  <c r="T5" i="74"/>
  <c r="D13" i="66"/>
  <c r="M5" i="74" l="1"/>
  <c r="C32" i="66"/>
  <c r="N114" i="58"/>
  <c r="S4" i="74"/>
  <c r="E31" i="66"/>
  <c r="E30" i="66"/>
  <c r="C30" i="66"/>
  <c r="E37" i="74" s="1"/>
  <c r="N146" i="58"/>
  <c r="N106" i="58"/>
  <c r="N130" i="58"/>
  <c r="N138" i="58"/>
  <c r="N154" i="58"/>
  <c r="N162" i="58"/>
  <c r="N58" i="58"/>
  <c r="N74" i="58"/>
  <c r="N90" i="58"/>
  <c r="C7" i="67"/>
  <c r="N82" i="58"/>
  <c r="N122" i="58"/>
  <c r="N50" i="58"/>
  <c r="N98" i="58"/>
  <c r="N66" i="58"/>
  <c r="C13" i="66"/>
  <c r="D28" i="66"/>
  <c r="C28" i="66" l="1"/>
  <c r="AB4" i="74" s="1"/>
  <c r="AB5" i="74"/>
  <c r="O114" i="58"/>
  <c r="E39" i="74"/>
  <c r="M4" i="74"/>
  <c r="M106" i="58"/>
  <c r="M114" i="58"/>
  <c r="O146" i="58"/>
  <c r="O106" i="58"/>
  <c r="M138" i="58"/>
  <c r="M146" i="58"/>
  <c r="O130" i="58"/>
  <c r="O138" i="58"/>
  <c r="M154" i="58"/>
  <c r="M130" i="58"/>
  <c r="M162" i="58"/>
  <c r="O154" i="58"/>
  <c r="O162" i="58"/>
  <c r="M58" i="58"/>
  <c r="M66" i="58"/>
  <c r="M82" i="58"/>
  <c r="M74" i="58"/>
  <c r="M90" i="58"/>
  <c r="C6" i="67"/>
  <c r="M98" i="58"/>
  <c r="M122" i="58"/>
  <c r="M50" i="58"/>
  <c r="O58" i="58"/>
  <c r="O98" i="58"/>
  <c r="O82" i="58"/>
  <c r="O66" i="58"/>
  <c r="O74" i="58"/>
  <c r="C8" i="67"/>
  <c r="O90" i="58"/>
  <c r="O122" i="58"/>
  <c r="O50"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tc={A1A92486-DB17-407B-BE5E-0D7F8C803349}</author>
    <author>tc={783FD8C0-C645-4805-AFEA-487549E9B8AD}</author>
  </authors>
  <commentList>
    <comment ref="AG9" authorId="0" shapeId="0" xr:uid="{A1A92486-DB17-407B-BE5E-0D7F8C8033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0" authorId="1" shapeId="0" xr:uid="{783FD8C0-C645-4805-AFEA-487549E9B8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tc={9F1951EE-88F9-4E10-B9F0-773A88A92920}</author>
    <author>tc={AAEF37F5-5F61-4663-AB96-733238A23F7B}</author>
  </authors>
  <commentList>
    <comment ref="I34" authorId="0" shapeId="0" xr:uid="{9F1951EE-88F9-4E10-B9F0-773A88A929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T34" authorId="1" shapeId="0" xr:uid="{AAEF37F5-5F61-4663-AB96-733238A23F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tc={894450EB-1798-41BC-8AA5-0D4C0AEF0935}</author>
    <author>tc={1A67B4FF-5DBD-4929-A9A8-039138FE2F46}</author>
    <author>tc={EC34C592-0A71-428A-95FE-E16298F44766}</author>
    <author>tc={BCE0D02F-4E75-4732-9754-18DB85D36F50}</author>
  </authors>
  <commentList>
    <comment ref="H22" authorId="0" shapeId="0" xr:uid="{894450EB-1798-41BC-8AA5-0D4C0AEF093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 of the program benefits materialized.</t>
      </text>
    </comment>
    <comment ref="I22" authorId="1" shapeId="0" xr:uid="{1A67B4FF-5DBD-4929-A9A8-039138FE2F4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40% of the program benefits materialized.</t>
      </text>
    </comment>
    <comment ref="J22" authorId="2" shapeId="0" xr:uid="{EC34C592-0A71-428A-95FE-E16298F4476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80% of the program benefits materialized.</t>
      </text>
    </comment>
    <comment ref="K22" authorId="3" shapeId="0" xr:uid="{BCE0D02F-4E75-4732-9754-18DB85D36F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80% of the program benefits materialized.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tc={24700379-0585-4A1C-876C-66EDEC12BB9D}</author>
    <author>tc={E8430EF6-C150-4995-91A2-1D3F0819A8B4}</author>
  </authors>
  <commentList>
    <comment ref="AG13" authorId="0" shapeId="0" xr:uid="{24700379-0585-4A1C-876C-66EDEC12BB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8" authorId="1" shapeId="0" xr:uid="{E8430EF6-C150-4995-91A2-1D3F0819A8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tc={60D274A6-2672-4FF1-95B1-36529260054C}</author>
    <author>tc={E2B3EDB2-7958-4141-B15E-32019ED9B21E}</author>
  </authors>
  <commentList>
    <comment ref="M34" authorId="0" shapeId="0" xr:uid="{60D274A6-2672-4FF1-95B1-3652926005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B34" authorId="1" shapeId="0" xr:uid="{E2B3EDB2-7958-4141-B15E-32019ED9B21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sharedStrings.xml><?xml version="1.0" encoding="utf-8"?>
<sst xmlns="http://schemas.openxmlformats.org/spreadsheetml/2006/main" count="1061" uniqueCount="304">
  <si>
    <t>Year</t>
    <phoneticPr fontId="3"/>
  </si>
  <si>
    <t>Total Costs</t>
    <phoneticPr fontId="3"/>
  </si>
  <si>
    <t>Total Benefits</t>
    <phoneticPr fontId="3"/>
  </si>
  <si>
    <t>Net Benefits</t>
    <phoneticPr fontId="3"/>
  </si>
  <si>
    <t>Foreign Currency (USD)</t>
    <phoneticPr fontId="3"/>
  </si>
  <si>
    <t>Materials &amp; Equipment Costs</t>
    <phoneticPr fontId="3"/>
  </si>
  <si>
    <t>Labor Costs</t>
    <phoneticPr fontId="3"/>
  </si>
  <si>
    <t>Land Acquisition/Compensation Costs</t>
    <phoneticPr fontId="3"/>
  </si>
  <si>
    <t>General/Administrative Costs (Overhead Costs)</t>
    <phoneticPr fontId="3"/>
  </si>
  <si>
    <t xml:space="preserve">    Skilled Workers</t>
    <phoneticPr fontId="3"/>
  </si>
  <si>
    <t xml:space="preserve">    Unskilled Workers</t>
    <phoneticPr fontId="3"/>
  </si>
  <si>
    <t>Item</t>
    <phoneticPr fontId="3"/>
  </si>
  <si>
    <t>Salvage Value of Investment</t>
    <phoneticPr fontId="3"/>
  </si>
  <si>
    <t>Insurance</t>
    <phoneticPr fontId="3"/>
  </si>
  <si>
    <t>Spares &amp; Maintenance</t>
    <phoneticPr fontId="3"/>
  </si>
  <si>
    <t>Financial Costs</t>
    <phoneticPr fontId="3"/>
  </si>
  <si>
    <t>Economic Costs</t>
    <phoneticPr fontId="3"/>
  </si>
  <si>
    <t>➡</t>
    <phoneticPr fontId="3"/>
  </si>
  <si>
    <t>FIRR</t>
    <phoneticPr fontId="3"/>
  </si>
  <si>
    <t>FNPV</t>
    <phoneticPr fontId="3"/>
  </si>
  <si>
    <t>FBCR</t>
    <phoneticPr fontId="3"/>
  </si>
  <si>
    <t>Conversion Factor</t>
    <phoneticPr fontId="3"/>
  </si>
  <si>
    <t>Discount Rate</t>
    <phoneticPr fontId="3"/>
  </si>
  <si>
    <t>Contingency</t>
    <phoneticPr fontId="3"/>
  </si>
  <si>
    <t>Total</t>
    <phoneticPr fontId="3"/>
  </si>
  <si>
    <t>Price Contingency</t>
    <phoneticPr fontId="3"/>
  </si>
  <si>
    <t>Physical Contingency</t>
    <phoneticPr fontId="3"/>
  </si>
  <si>
    <t>Local Currency (BDT)</t>
    <phoneticPr fontId="3"/>
  </si>
  <si>
    <t>Total 
(BDT)</t>
    <phoneticPr fontId="3"/>
  </si>
  <si>
    <t>Annual Initial Investment Costs (BDT)</t>
    <phoneticPr fontId="3"/>
  </si>
  <si>
    <t>Salvage</t>
    <phoneticPr fontId="3"/>
  </si>
  <si>
    <t>--</t>
    <phoneticPr fontId="3"/>
  </si>
  <si>
    <t>Taxes, Subsidies (Transfers)</t>
    <phoneticPr fontId="3"/>
  </si>
  <si>
    <t xml:space="preserve">    Shadow Wage Rate Factor (SWRF) [=1/Conversion Factor for Unskilled Labor]</t>
    <phoneticPr fontId="3"/>
  </si>
  <si>
    <t>Annual Revenues</t>
    <phoneticPr fontId="3"/>
  </si>
  <si>
    <t xml:space="preserve"> (=100%)</t>
    <phoneticPr fontId="3"/>
  </si>
  <si>
    <r>
      <t xml:space="preserve">Annual Revenues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3"/>
  </si>
  <si>
    <t>ENPV</t>
    <phoneticPr fontId="3"/>
  </si>
  <si>
    <t>EIRR</t>
    <phoneticPr fontId="3"/>
  </si>
  <si>
    <t>EBCR</t>
    <phoneticPr fontId="3"/>
  </si>
  <si>
    <t>Indicator</t>
    <phoneticPr fontId="3"/>
  </si>
  <si>
    <t xml:space="preserve">    Salvage (Residual) Value (%)</t>
    <phoneticPr fontId="3"/>
  </si>
  <si>
    <t>Input Purchase</t>
    <phoneticPr fontId="3"/>
  </si>
  <si>
    <t>Economic Code</t>
    <phoneticPr fontId="3"/>
  </si>
  <si>
    <t>Unit</t>
    <phoneticPr fontId="3"/>
  </si>
  <si>
    <t>Quantity</t>
    <phoneticPr fontId="3"/>
  </si>
  <si>
    <t>GOB
(FE)</t>
  </si>
  <si>
    <t>Project Aid</t>
    <phoneticPr fontId="3"/>
  </si>
  <si>
    <t>Own 
Fund
(FE)</t>
    <phoneticPr fontId="3"/>
  </si>
  <si>
    <t>Others</t>
  </si>
  <si>
    <t>% of Total Project Cost</t>
    <phoneticPr fontId="3"/>
  </si>
  <si>
    <t>RPA</t>
  </si>
  <si>
    <t>DPA</t>
  </si>
  <si>
    <t>Through GOB</t>
    <phoneticPr fontId="3"/>
  </si>
  <si>
    <t>Through
PD</t>
  </si>
  <si>
    <t>Through
DP</t>
  </si>
  <si>
    <t>(1)</t>
    <phoneticPr fontId="3"/>
  </si>
  <si>
    <t>(2)</t>
    <phoneticPr fontId="3"/>
  </si>
  <si>
    <t>(3)</t>
    <phoneticPr fontId="3"/>
  </si>
  <si>
    <t>(4)</t>
  </si>
  <si>
    <t>(5)</t>
  </si>
  <si>
    <t>(6)</t>
  </si>
  <si>
    <t>(7)</t>
  </si>
  <si>
    <t>(8)</t>
  </si>
  <si>
    <t>(9)</t>
  </si>
  <si>
    <t>(10)</t>
  </si>
  <si>
    <t>(11)</t>
  </si>
  <si>
    <t>(12)</t>
  </si>
  <si>
    <t>(13)</t>
  </si>
  <si>
    <t>(a) Revenue:</t>
    <phoneticPr fontId="3"/>
  </si>
  <si>
    <t>(b) Capital:</t>
    <phoneticPr fontId="3"/>
  </si>
  <si>
    <t>Revenue Source I</t>
    <phoneticPr fontId="3"/>
  </si>
  <si>
    <t>Revenue Source II</t>
    <phoneticPr fontId="3"/>
  </si>
  <si>
    <t>Revenue Source III</t>
    <phoneticPr fontId="3"/>
  </si>
  <si>
    <t>Value</t>
    <phoneticPr fontId="3"/>
  </si>
  <si>
    <t>(i) Financial Net Present Value (FNPV)</t>
    <phoneticPr fontId="3"/>
  </si>
  <si>
    <t>(i) Economic Net Present Value (ENPV)</t>
    <phoneticPr fontId="3"/>
  </si>
  <si>
    <t>(ii) Financial Benefit-Cost Ratio (FBCR)</t>
    <phoneticPr fontId="3"/>
  </si>
  <si>
    <t>(iiI) Financial Internal Rate of Return (FIRR)</t>
    <phoneticPr fontId="3"/>
  </si>
  <si>
    <t>(ii) Economic Benefit-Cost Ratio (EBCR)</t>
    <phoneticPr fontId="3"/>
  </si>
  <si>
    <t>(iii) Economic Internal Rate of Return (EIRR)</t>
    <phoneticPr fontId="3"/>
  </si>
  <si>
    <t>(Taka in Lac)</t>
    <phoneticPr fontId="3"/>
  </si>
  <si>
    <t>Economic Sub-code</t>
    <phoneticPr fontId="3"/>
  </si>
  <si>
    <t>Economic Sub-code
Description (In Detail)</t>
    <phoneticPr fontId="3"/>
  </si>
  <si>
    <t>Unit Cost</t>
    <phoneticPr fontId="3"/>
  </si>
  <si>
    <t>Special Account*</t>
    <phoneticPr fontId="3"/>
  </si>
  <si>
    <t>(14)</t>
  </si>
  <si>
    <t>(15)</t>
  </si>
  <si>
    <t>Sub total of Revenue</t>
    <phoneticPr fontId="3"/>
  </si>
  <si>
    <t>Sub total of Capital</t>
    <phoneticPr fontId="3"/>
  </si>
  <si>
    <t>Total (a+b+c+d)</t>
    <phoneticPr fontId="3"/>
  </si>
  <si>
    <t>* DOSA, CONTASA, SAFE, Imprest, etc.</t>
    <phoneticPr fontId="3"/>
  </si>
  <si>
    <t>Financial Analysis</t>
    <phoneticPr fontId="3"/>
  </si>
  <si>
    <t>Economic Analysis</t>
    <phoneticPr fontId="3"/>
  </si>
  <si>
    <t>(years)</t>
    <phoneticPr fontId="3"/>
  </si>
  <si>
    <t>(%)</t>
    <phoneticPr fontId="3"/>
  </si>
  <si>
    <t>(USD/BDT)</t>
    <phoneticPr fontId="3"/>
  </si>
  <si>
    <t xml:space="preserve">    Financial Discount Rate</t>
    <phoneticPr fontId="3"/>
  </si>
  <si>
    <t xml:space="preserve">    Physical Contingency</t>
    <phoneticPr fontId="3"/>
  </si>
  <si>
    <t xml:space="preserve">    Price Contingency, Local currency</t>
    <phoneticPr fontId="3"/>
  </si>
  <si>
    <t>Construction Period</t>
    <phoneticPr fontId="3"/>
  </si>
  <si>
    <t>(#)</t>
    <phoneticPr fontId="3"/>
  </si>
  <si>
    <t xml:space="preserve">    Economic (Social) Discount Rate</t>
    <phoneticPr fontId="3"/>
  </si>
  <si>
    <t xml:space="preserve">  (lakh)</t>
    <phoneticPr fontId="3"/>
  </si>
  <si>
    <t>NPV</t>
  </si>
  <si>
    <t>BCR</t>
  </si>
  <si>
    <t>IRR</t>
  </si>
  <si>
    <t>Parameter/Assumption</t>
    <phoneticPr fontId="3"/>
  </si>
  <si>
    <t xml:space="preserve">    Costs of Fixed Investment</t>
    <phoneticPr fontId="3"/>
  </si>
  <si>
    <t>Investment I -- Buildings</t>
    <phoneticPr fontId="3"/>
  </si>
  <si>
    <t>Investment III -- Land</t>
    <phoneticPr fontId="3"/>
  </si>
  <si>
    <t xml:space="preserve"> (=0)</t>
    <phoneticPr fontId="3"/>
  </si>
  <si>
    <t>Change in Total Benefits</t>
    <phoneticPr fontId="3"/>
  </si>
  <si>
    <t>(%)</t>
  </si>
  <si>
    <t>Change in Total Costs</t>
    <phoneticPr fontId="3"/>
  </si>
  <si>
    <t>Level of Total Benefis</t>
    <phoneticPr fontId="3"/>
  </si>
  <si>
    <t>Level of Total Costs</t>
    <phoneticPr fontId="3"/>
  </si>
  <si>
    <t>Project
Aid</t>
    <phoneticPr fontId="3"/>
  </si>
  <si>
    <t>GOB</t>
    <phoneticPr fontId="3"/>
  </si>
  <si>
    <t>Own Funds</t>
    <phoneticPr fontId="3"/>
  </si>
  <si>
    <t>Total (BDT)</t>
    <phoneticPr fontId="3"/>
  </si>
  <si>
    <t>Investment II -- Equipment (Overhead &amp; underground line construction)</t>
    <phoneticPr fontId="3"/>
  </si>
  <si>
    <t xml:space="preserve"> *1MVA = 1,000kW</t>
    <phoneticPr fontId="3"/>
  </si>
  <si>
    <t>Initial Capacity Utilization after Construction</t>
    <phoneticPr fontId="3"/>
  </si>
  <si>
    <r>
      <t>Salvage Value of Investment</t>
    </r>
    <r>
      <rPr>
        <sz val="11"/>
        <color theme="1"/>
        <rFont val="游ゴシック"/>
        <family val="3"/>
        <charset val="128"/>
        <scheme val="minor"/>
      </rPr>
      <t xml:space="preserve"> [=TC*SPF]</t>
    </r>
    <phoneticPr fontId="3"/>
  </si>
  <si>
    <t xml:space="preserve">*Entering data in the beige-colored cells is required. </t>
    <phoneticPr fontId="3"/>
  </si>
  <si>
    <t>(Discrepancy with Total Initial Investment Costs)</t>
    <phoneticPr fontId="3"/>
  </si>
  <si>
    <t>[default: 1.45]</t>
    <phoneticPr fontId="3"/>
  </si>
  <si>
    <t>[default: 100]</t>
    <phoneticPr fontId="3"/>
  </si>
  <si>
    <t>[default: 30]</t>
    <phoneticPr fontId="3"/>
  </si>
  <si>
    <t>[default: 5]</t>
    <phoneticPr fontId="3"/>
  </si>
  <si>
    <t>[default: 100%]</t>
    <phoneticPr fontId="3"/>
  </si>
  <si>
    <t>DF</t>
    <phoneticPr fontId="3"/>
  </si>
  <si>
    <r>
      <t xml:space="preserve">Annual Revenues </t>
    </r>
    <r>
      <rPr>
        <b/>
        <u/>
        <sz val="11"/>
        <color theme="1"/>
        <rFont val="游ゴシック"/>
        <family val="3"/>
        <charset val="128"/>
        <scheme val="minor"/>
      </rPr>
      <t>after Construction</t>
    </r>
    <r>
      <rPr>
        <b/>
        <sz val="11"/>
        <color theme="1"/>
        <rFont val="游ゴシック"/>
        <family val="3"/>
        <charset val="128"/>
        <scheme val="minor"/>
      </rPr>
      <t xml:space="preserve"> (BDT)</t>
    </r>
    <phoneticPr fontId="3"/>
  </si>
  <si>
    <t>At Constant Prices/Before Discounting (lakh)</t>
    <phoneticPr fontId="3"/>
  </si>
  <si>
    <t>Present Values (lakh)</t>
    <phoneticPr fontId="3"/>
  </si>
  <si>
    <t xml:space="preserve"> *Do not change the first row.</t>
    <phoneticPr fontId="3"/>
  </si>
  <si>
    <t xml:space="preserve"> *(&gt;=10 &amp; &lt;=30)</t>
    <phoneticPr fontId="3"/>
  </si>
  <si>
    <t xml:space="preserve"> *(&lt;=6)</t>
    <phoneticPr fontId="3"/>
  </si>
  <si>
    <t>Annual Operating Costs (Operation &amp; Maintenance Costs)</t>
    <phoneticPr fontId="3"/>
  </si>
  <si>
    <t>Annual Operating Costs after Construction (BDT)</t>
    <phoneticPr fontId="3"/>
  </si>
  <si>
    <t>Project Life &amp; Construction Period</t>
    <phoneticPr fontId="3"/>
  </si>
  <si>
    <t>Demand</t>
    <phoneticPr fontId="3"/>
  </si>
  <si>
    <t>Capacity</t>
    <phoneticPr fontId="3"/>
  </si>
  <si>
    <t xml:space="preserve"> *It is assumed as 2% of Total Initial Investment Costs.</t>
    <phoneticPr fontId="3"/>
  </si>
  <si>
    <t>[default: 0%]</t>
    <phoneticPr fontId="3"/>
  </si>
  <si>
    <t>[default: 1.195]</t>
    <phoneticPr fontId="3"/>
  </si>
  <si>
    <t>Depreciation (for the Calculation of Salvage Value)</t>
    <phoneticPr fontId="3"/>
  </si>
  <si>
    <t>Annual Depreciation Rate for Total Initital Investment</t>
    <phoneticPr fontId="3"/>
  </si>
  <si>
    <t>Total Population</t>
    <phoneticPr fontId="3"/>
  </si>
  <si>
    <t>Annual Population Growth Rate</t>
    <phoneticPr fontId="3"/>
  </si>
  <si>
    <t>(#/HH)</t>
    <phoneticPr fontId="3"/>
  </si>
  <si>
    <t>[default: 1.37%]</t>
    <phoneticPr fontId="3"/>
  </si>
  <si>
    <t>[default: 35,000]</t>
    <phoneticPr fontId="3"/>
  </si>
  <si>
    <t>[default: 5.2]</t>
    <phoneticPr fontId="3"/>
  </si>
  <si>
    <t>Agricultural Households</t>
    <phoneticPr fontId="3"/>
  </si>
  <si>
    <t>[default: 45.0%]</t>
    <phoneticPr fontId="3"/>
  </si>
  <si>
    <t>Percent of Agricultural Households in Total Households</t>
    <phoneticPr fontId="3"/>
  </si>
  <si>
    <t>Percent of Students in Total Population</t>
    <phoneticPr fontId="3"/>
  </si>
  <si>
    <t>[default: 20.0%]</t>
    <phoneticPr fontId="3"/>
  </si>
  <si>
    <t>Population &amp; Households</t>
    <phoneticPr fontId="3"/>
  </si>
  <si>
    <t>Income</t>
    <phoneticPr fontId="3"/>
  </si>
  <si>
    <t>(BDT/month)</t>
    <phoneticPr fontId="3"/>
  </si>
  <si>
    <t>[default: 12,000]</t>
    <phoneticPr fontId="3"/>
  </si>
  <si>
    <t>[default: 25,000]</t>
    <phoneticPr fontId="3"/>
  </si>
  <si>
    <t>Increase in Agricultural Income</t>
    <phoneticPr fontId="3"/>
  </si>
  <si>
    <t>Student Dropout Rate</t>
    <phoneticPr fontId="3"/>
  </si>
  <si>
    <t>[default: 10.0%]</t>
    <phoneticPr fontId="3"/>
  </si>
  <si>
    <t>(BDT/year)</t>
    <phoneticPr fontId="3"/>
  </si>
  <si>
    <t>[default: 209,000]</t>
    <phoneticPr fontId="3"/>
  </si>
  <si>
    <t>(USD/life)</t>
    <phoneticPr fontId="3"/>
  </si>
  <si>
    <t>Increase in Personal Income due to Avoidance of Dropout</t>
    <phoneticPr fontId="3"/>
  </si>
  <si>
    <t>Working Life of a Person</t>
    <phoneticPr fontId="3"/>
  </si>
  <si>
    <t>[default: 35]</t>
    <phoneticPr fontId="3"/>
  </si>
  <si>
    <t>Purchasing Power Parity (PPP) from USD to BDT</t>
    <phoneticPr fontId="3"/>
  </si>
  <si>
    <t>(BDT/USD)</t>
    <phoneticPr fontId="3"/>
  </si>
  <si>
    <t>[default: 32.81]</t>
    <phoneticPr fontId="3"/>
  </si>
  <si>
    <t>Population in Negativey Affected Areas</t>
    <phoneticPr fontId="3"/>
  </si>
  <si>
    <t>Households in Negatively Affected Areas</t>
    <phoneticPr fontId="3"/>
  </si>
  <si>
    <t>Total Households</t>
    <phoneticPr fontId="3"/>
  </si>
  <si>
    <t>Students</t>
    <phoneticPr fontId="3"/>
  </si>
  <si>
    <t>Avg. Household Size</t>
    <phoneticPr fontId="3"/>
  </si>
  <si>
    <t>Avg. Household Size for Negatively Affected Areas</t>
    <phoneticPr fontId="3"/>
  </si>
  <si>
    <t>Avg. Monthly Income for Agricultural Households</t>
    <phoneticPr fontId="3"/>
  </si>
  <si>
    <t>Avg. Monthly Income for Households in Negatively Affected Areas</t>
    <phoneticPr fontId="3"/>
  </si>
  <si>
    <t>[default: 23,000]</t>
    <phoneticPr fontId="3"/>
  </si>
  <si>
    <t>Percent of Female Population</t>
    <phoneticPr fontId="3"/>
  </si>
  <si>
    <t>[default: 50.0%]</t>
    <phoneticPr fontId="3"/>
  </si>
  <si>
    <t>[default: 8.0%]</t>
    <phoneticPr fontId="3"/>
  </si>
  <si>
    <t>Percent of Women Giving Birth per year</t>
    <phoneticPr fontId="3"/>
  </si>
  <si>
    <t>Maternal Mortality Rate</t>
    <phoneticPr fontId="3"/>
  </si>
  <si>
    <t>(#/100,000 births)</t>
    <phoneticPr fontId="3"/>
  </si>
  <si>
    <t>[default: 173]</t>
    <phoneticPr fontId="3"/>
  </si>
  <si>
    <t>[default: 70.0%]</t>
    <phoneticPr fontId="3"/>
  </si>
  <si>
    <t>Population</t>
    <phoneticPr fontId="3"/>
  </si>
  <si>
    <t>Households</t>
    <phoneticPr fontId="3"/>
  </si>
  <si>
    <t>Student Dropouts</t>
    <phoneticPr fontId="3"/>
  </si>
  <si>
    <t>Female Population</t>
    <phoneticPr fontId="3"/>
  </si>
  <si>
    <t>Women Giving Birth</t>
    <phoneticPr fontId="3"/>
  </si>
  <si>
    <t>Female Population from Age 15 to 44</t>
    <phoneticPr fontId="3"/>
  </si>
  <si>
    <t>Maternal Deaths</t>
    <phoneticPr fontId="3"/>
  </si>
  <si>
    <t>Reduction in Maternal Deaths</t>
    <phoneticPr fontId="3"/>
  </si>
  <si>
    <t>Total Annual Income for Agricultural Households</t>
    <phoneticPr fontId="3"/>
  </si>
  <si>
    <t>[default: 25.0%]</t>
    <phoneticPr fontId="3"/>
  </si>
  <si>
    <t>Reduction in Student Dropouts</t>
    <phoneticPr fontId="3"/>
  </si>
  <si>
    <t>MSME Households</t>
    <phoneticPr fontId="3"/>
  </si>
  <si>
    <t>Total Annual Income for MSME Households</t>
    <phoneticPr fontId="3"/>
  </si>
  <si>
    <t>Percent of MSME Households in Total Households</t>
    <phoneticPr fontId="3"/>
  </si>
  <si>
    <t>(BDT/life)</t>
    <phoneticPr fontId="3"/>
  </si>
  <si>
    <t>[default: 1,909,355]</t>
    <phoneticPr fontId="3"/>
  </si>
  <si>
    <t>Educational Benefits</t>
    <phoneticPr fontId="3"/>
  </si>
  <si>
    <t>Health Benefits</t>
    <phoneticPr fontId="3"/>
  </si>
  <si>
    <t xml:space="preserve">  Increase in Income for Those Who Avoided Dropout</t>
    <phoneticPr fontId="3"/>
  </si>
  <si>
    <t xml:space="preserve">  Increase in Income for Agricultural/MSME HHs</t>
  </si>
  <si>
    <t xml:space="preserve">  Value Obtained from Saving Maternal Lives</t>
    <phoneticPr fontId="3"/>
  </si>
  <si>
    <t>Indirect Benefits</t>
    <phoneticPr fontId="3"/>
  </si>
  <si>
    <t>Indirect Costs</t>
    <phoneticPr fontId="3"/>
  </si>
  <si>
    <t>Households in Negativey Affected Areas</t>
    <phoneticPr fontId="3"/>
  </si>
  <si>
    <t>Annual Population Growth Rate in Negativey Affected Areas</t>
    <phoneticPr fontId="3"/>
  </si>
  <si>
    <t>Increase in Total Annual Income for Agricultural Households</t>
    <phoneticPr fontId="3"/>
  </si>
  <si>
    <t>Increase in Total Annual Income for MSME Households</t>
    <phoneticPr fontId="3"/>
  </si>
  <si>
    <t>Increase in Total Annual Income for Agricultural/MSME Households</t>
    <phoneticPr fontId="3"/>
  </si>
  <si>
    <t>Increase in Total Annual Income for Those Who Avoided Dropout</t>
    <phoneticPr fontId="3"/>
  </si>
  <si>
    <t>Total Value Obtained from Saving Maternal Lives</t>
    <phoneticPr fontId="3"/>
  </si>
  <si>
    <t>[default: 4.0%]</t>
    <phoneticPr fontId="3"/>
  </si>
  <si>
    <t xml:space="preserve">  Initial Investment Costs</t>
    <phoneticPr fontId="3"/>
  </si>
  <si>
    <t xml:space="preserve">  Operating Costs (Operation &amp; Maintenance Costs)</t>
    <phoneticPr fontId="3"/>
  </si>
  <si>
    <t xml:space="preserve">  Salvage Value</t>
    <phoneticPr fontId="3"/>
  </si>
  <si>
    <t xml:space="preserve">  Decrease in Income for HHs in Negatively Affected</t>
    <phoneticPr fontId="3"/>
  </si>
  <si>
    <t>Growth in Capacity Utilization/Growth of Demand</t>
    <phoneticPr fontId="3"/>
  </si>
  <si>
    <t>Avg. Monthly Income for MSME Households</t>
    <phoneticPr fontId="3"/>
  </si>
  <si>
    <t>Increase in MSME Income</t>
    <phoneticPr fontId="3"/>
  </si>
  <si>
    <t>[default: 7.5%]</t>
    <phoneticPr fontId="3"/>
  </si>
  <si>
    <t>High School Students</t>
    <phoneticPr fontId="3"/>
  </si>
  <si>
    <t>Consultant Costs</t>
    <phoneticPr fontId="3"/>
  </si>
  <si>
    <t>Project Life</t>
    <phoneticPr fontId="3"/>
  </si>
  <si>
    <t>Loss of Income in Negatively Affected Areas</t>
    <phoneticPr fontId="3"/>
  </si>
  <si>
    <t>Total Annual Income Earned by Households in NAA without the Project</t>
    <phoneticPr fontId="3"/>
  </si>
  <si>
    <t>Decrease in Total Annual Income for Households in NAA due to the Project</t>
    <phoneticPr fontId="3"/>
  </si>
  <si>
    <t>Commercial Benefits</t>
    <phoneticPr fontId="3"/>
  </si>
  <si>
    <t>Total Statistical Value of Life in Bangladesh</t>
    <phoneticPr fontId="3"/>
  </si>
  <si>
    <t>Annual Statistical Value of Life in Bangladesh</t>
    <phoneticPr fontId="3"/>
  </si>
  <si>
    <t>[default: 13,000]</t>
    <phoneticPr fontId="3"/>
  </si>
  <si>
    <t>Percent of Females Aged 15 to 44</t>
    <phoneticPr fontId="3"/>
  </si>
  <si>
    <r>
      <rPr>
        <b/>
        <u/>
        <sz val="11"/>
        <color theme="10"/>
        <rFont val="游ゴシック"/>
        <family val="3"/>
        <charset val="128"/>
        <scheme val="minor"/>
      </rPr>
      <t>0.Contents</t>
    </r>
    <r>
      <rPr>
        <u/>
        <sz val="11"/>
        <color theme="10"/>
        <rFont val="游ゴシック"/>
        <family val="2"/>
        <scheme val="minor"/>
      </rPr>
      <t xml:space="preserve"> </t>
    </r>
    <r>
      <rPr>
        <u/>
        <sz val="11"/>
        <color theme="10"/>
        <rFont val="游ゴシック"/>
        <family val="3"/>
        <charset val="128"/>
        <scheme val="minor"/>
      </rPr>
      <t>--&gt; Table of contents</t>
    </r>
    <phoneticPr fontId="3"/>
  </si>
  <si>
    <r>
      <rPr>
        <b/>
        <u/>
        <sz val="11"/>
        <color theme="10"/>
        <rFont val="游ゴシック"/>
        <family val="3"/>
        <charset val="128"/>
        <scheme val="minor"/>
      </rPr>
      <t>1.Params</t>
    </r>
    <r>
      <rPr>
        <u/>
        <sz val="11"/>
        <color theme="10"/>
        <rFont val="游ゴシック"/>
        <family val="3"/>
        <charset val="128"/>
        <scheme val="minor"/>
      </rPr>
      <t xml:space="preserve"> --&gt; Setting model parameters &amp; project assumptions/variables</t>
    </r>
    <phoneticPr fontId="3"/>
  </si>
  <si>
    <r>
      <rPr>
        <b/>
        <u/>
        <sz val="11"/>
        <color theme="10"/>
        <rFont val="游ゴシック"/>
        <family val="3"/>
        <charset val="128"/>
        <scheme val="minor"/>
      </rPr>
      <t>3.FBenefits</t>
    </r>
    <r>
      <rPr>
        <u/>
        <sz val="11"/>
        <color theme="10"/>
        <rFont val="游ゴシック"/>
        <family val="3"/>
        <charset val="128"/>
        <scheme val="minor"/>
      </rPr>
      <t xml:space="preserve"> --&gt; Identifying and quantifying financial benefits</t>
    </r>
    <phoneticPr fontId="3"/>
  </si>
  <si>
    <r>
      <rPr>
        <b/>
        <u/>
        <sz val="11"/>
        <color theme="10"/>
        <rFont val="游ゴシック"/>
        <family val="3"/>
        <charset val="128"/>
        <scheme val="minor"/>
      </rPr>
      <t>5.ECosts</t>
    </r>
    <r>
      <rPr>
        <u/>
        <sz val="11"/>
        <color theme="10"/>
        <rFont val="游ゴシック"/>
        <family val="3"/>
        <charset val="128"/>
        <scheme val="minor"/>
      </rPr>
      <t xml:space="preserve"> --&gt; Identifying and quantifying economic costs</t>
    </r>
    <phoneticPr fontId="3"/>
  </si>
  <si>
    <r>
      <rPr>
        <b/>
        <u/>
        <sz val="11"/>
        <color theme="10"/>
        <rFont val="游ゴシック"/>
        <family val="3"/>
        <charset val="128"/>
        <scheme val="minor"/>
      </rPr>
      <t>6.EBenefits</t>
    </r>
    <r>
      <rPr>
        <u/>
        <sz val="11"/>
        <color theme="10"/>
        <rFont val="游ゴシック"/>
        <family val="3"/>
        <charset val="128"/>
        <scheme val="minor"/>
      </rPr>
      <t xml:space="preserve"> --&gt; Identifying and quantifying economic benefits</t>
    </r>
    <phoneticPr fontId="3"/>
  </si>
  <si>
    <r>
      <rPr>
        <b/>
        <u/>
        <sz val="11"/>
        <color theme="10"/>
        <rFont val="游ゴシック"/>
        <family val="3"/>
        <charset val="128"/>
        <scheme val="minor"/>
      </rPr>
      <t>8.Sensitivity</t>
    </r>
    <r>
      <rPr>
        <u/>
        <sz val="11"/>
        <color theme="10"/>
        <rFont val="游ゴシック"/>
        <family val="3"/>
        <charset val="128"/>
        <scheme val="minor"/>
      </rPr>
      <t xml:space="preserve"> --&gt; Testing sensitivity of the results to parameters &amp; assumptions</t>
    </r>
    <phoneticPr fontId="3"/>
  </si>
  <si>
    <r>
      <rPr>
        <b/>
        <u/>
        <sz val="11"/>
        <color theme="10"/>
        <rFont val="游ゴシック"/>
        <family val="3"/>
        <charset val="128"/>
        <scheme val="minor"/>
      </rPr>
      <t>9.Results</t>
    </r>
    <r>
      <rPr>
        <u/>
        <sz val="11"/>
        <color theme="10"/>
        <rFont val="游ゴシック"/>
        <family val="3"/>
        <charset val="128"/>
        <scheme val="minor"/>
      </rPr>
      <t xml:space="preserve"> --&gt; Summarizing the results of financial and economic analysis</t>
    </r>
    <phoneticPr fontId="3"/>
  </si>
  <si>
    <t>About the Sample Project</t>
    <phoneticPr fontId="3"/>
  </si>
  <si>
    <r>
      <t>Table of Contents (</t>
    </r>
    <r>
      <rPr>
        <b/>
        <sz val="12"/>
        <color rgb="FFFF0000"/>
        <rFont val="游ゴシック"/>
        <family val="3"/>
        <charset val="128"/>
        <scheme val="minor"/>
      </rPr>
      <t>Rural Infrastructure Development</t>
    </r>
    <r>
      <rPr>
        <b/>
        <sz val="12"/>
        <color theme="1"/>
        <rFont val="游ゴシック"/>
        <family val="3"/>
        <charset val="128"/>
        <scheme val="minor"/>
      </rPr>
      <t>)</t>
    </r>
    <phoneticPr fontId="3"/>
  </si>
  <si>
    <t>n/a</t>
    <phoneticPr fontId="3"/>
  </si>
  <si>
    <t>The project is expected to improve the living standard of people living in a 100 square kilometer area by connecting the rural people with the network of roads, improved markets, and by providing better access to education and healthcare (cf. the Appendix of the CBA Handbook).</t>
    <phoneticPr fontId="3"/>
  </si>
  <si>
    <r>
      <rPr>
        <b/>
        <u/>
        <sz val="11"/>
        <color theme="10"/>
        <rFont val="游ゴシック"/>
        <family val="3"/>
        <charset val="128"/>
        <scheme val="minor"/>
      </rPr>
      <t>2a.FCosts</t>
    </r>
    <r>
      <rPr>
        <u/>
        <sz val="11"/>
        <color theme="10"/>
        <rFont val="游ゴシック"/>
        <family val="3"/>
        <charset val="128"/>
        <scheme val="minor"/>
      </rPr>
      <t xml:space="preserve"> --&gt; Identifying and quantifying financial costs (1)----DPP format</t>
    </r>
    <phoneticPr fontId="3"/>
  </si>
  <si>
    <r>
      <rPr>
        <b/>
        <u/>
        <sz val="11"/>
        <color theme="10"/>
        <rFont val="游ゴシック"/>
        <family val="3"/>
        <charset val="128"/>
        <scheme val="minor"/>
      </rPr>
      <t>2b.FCosts</t>
    </r>
    <r>
      <rPr>
        <u/>
        <sz val="11"/>
        <color theme="10"/>
        <rFont val="游ゴシック"/>
        <family val="3"/>
        <charset val="128"/>
        <scheme val="minor"/>
      </rPr>
      <t xml:space="preserve"> --&gt; Identifying and quantifying financial costs (2)----General format</t>
    </r>
    <phoneticPr fontId="3"/>
  </si>
  <si>
    <r>
      <rPr>
        <b/>
        <u/>
        <sz val="11"/>
        <color theme="10"/>
        <rFont val="游ゴシック"/>
        <family val="3"/>
        <charset val="128"/>
        <scheme val="minor"/>
      </rPr>
      <t>4a.FAnalysis</t>
    </r>
    <r>
      <rPr>
        <u/>
        <sz val="11"/>
        <color theme="10"/>
        <rFont val="游ゴシック"/>
        <family val="3"/>
        <charset val="128"/>
        <scheme val="minor"/>
      </rPr>
      <t xml:space="preserve"> --&gt; Constructing financial cash flow tables and estimating financial indicators (1)----Horizontal format</t>
    </r>
    <phoneticPr fontId="3"/>
  </si>
  <si>
    <r>
      <rPr>
        <b/>
        <u/>
        <sz val="11"/>
        <color theme="10"/>
        <rFont val="游ゴシック"/>
        <family val="3"/>
        <charset val="128"/>
        <scheme val="minor"/>
      </rPr>
      <t>4b.FAnalysis</t>
    </r>
    <r>
      <rPr>
        <u/>
        <sz val="11"/>
        <color theme="10"/>
        <rFont val="游ゴシック"/>
        <family val="3"/>
        <charset val="128"/>
        <scheme val="minor"/>
      </rPr>
      <t xml:space="preserve"> --&gt; Constructing financial cash flow tables and estimating financial indicators (2)----Vertical format</t>
    </r>
    <phoneticPr fontId="3"/>
  </si>
  <si>
    <r>
      <rPr>
        <b/>
        <u/>
        <sz val="11"/>
        <color theme="10"/>
        <rFont val="游ゴシック"/>
        <family val="3"/>
        <charset val="128"/>
        <scheme val="minor"/>
      </rPr>
      <t>7a.EAnalysis</t>
    </r>
    <r>
      <rPr>
        <u/>
        <sz val="11"/>
        <color theme="10"/>
        <rFont val="游ゴシック"/>
        <family val="3"/>
        <charset val="128"/>
        <scheme val="minor"/>
      </rPr>
      <t xml:space="preserve"> --&gt; Constructing economic cash flow tables and estimating economic indicators (1)----Horizontal format</t>
    </r>
    <phoneticPr fontId="3"/>
  </si>
  <si>
    <r>
      <rPr>
        <b/>
        <u/>
        <sz val="11"/>
        <color theme="10"/>
        <rFont val="游ゴシック"/>
        <family val="3"/>
        <charset val="128"/>
        <scheme val="minor"/>
      </rPr>
      <t>7b.EAnalysis</t>
    </r>
    <r>
      <rPr>
        <u/>
        <sz val="11"/>
        <color theme="10"/>
        <rFont val="游ゴシック"/>
        <family val="3"/>
        <charset val="128"/>
        <scheme val="minor"/>
      </rPr>
      <t xml:space="preserve"> --&gt; Constructing economic cash flow tables and estimating economic indicators (2)----Vertical format</t>
    </r>
    <phoneticPr fontId="3"/>
  </si>
  <si>
    <r>
      <t xml:space="preserve">    Price Contingency, Foreign currency</t>
    </r>
    <r>
      <rPr>
        <sz val="11"/>
        <color rgb="FF0070C0"/>
        <rFont val="游ゴシック"/>
        <family val="3"/>
        <charset val="128"/>
        <scheme val="minor"/>
      </rPr>
      <t xml:space="preserve"> (not used in this sample)</t>
    </r>
    <phoneticPr fontId="3"/>
  </si>
  <si>
    <r>
      <t xml:space="preserve">    Wage Conversion Factor for Unskilled Labor</t>
    </r>
    <r>
      <rPr>
        <sz val="11"/>
        <color rgb="FF0070C0"/>
        <rFont val="游ゴシック"/>
        <family val="3"/>
        <charset val="128"/>
        <scheme val="minor"/>
      </rPr>
      <t xml:space="preserve"> (not used in this sample)</t>
    </r>
    <phoneticPr fontId="3"/>
  </si>
  <si>
    <r>
      <t>Exchange Rate</t>
    </r>
    <r>
      <rPr>
        <sz val="11"/>
        <color rgb="FF0070C0"/>
        <rFont val="游ゴシック"/>
        <family val="3"/>
        <charset val="128"/>
        <scheme val="minor"/>
      </rPr>
      <t xml:space="preserve"> (not used in this sample)</t>
    </r>
    <phoneticPr fontId="3"/>
  </si>
  <si>
    <t>[default: 2.0%]</t>
    <phoneticPr fontId="3"/>
  </si>
  <si>
    <t>[default: 5.0%]</t>
    <phoneticPr fontId="3"/>
  </si>
  <si>
    <t>[default: 12.0%]</t>
    <phoneticPr fontId="3"/>
  </si>
  <si>
    <t>Taxes (Transfers)</t>
    <phoneticPr fontId="3"/>
  </si>
  <si>
    <r>
      <t xml:space="preserve">Subsidies, </t>
    </r>
    <r>
      <rPr>
        <u/>
        <sz val="11"/>
        <rFont val="游ゴシック"/>
        <family val="3"/>
        <charset val="128"/>
        <scheme val="minor"/>
      </rPr>
      <t>negative costs</t>
    </r>
    <r>
      <rPr>
        <sz val="11"/>
        <rFont val="游ゴシック"/>
        <family val="3"/>
        <charset val="128"/>
        <scheme val="minor"/>
      </rPr>
      <t xml:space="preserve"> (Transfers)</t>
    </r>
    <phoneticPr fontId="3"/>
  </si>
  <si>
    <t>Base Costs (w/o Contingencies)</t>
    <phoneticPr fontId="3"/>
  </si>
  <si>
    <t>Total Initial Investment Costs (BC + Physical Contingency)</t>
  </si>
  <si>
    <t>Total Initial Investment Costs (BC + Physical Contingency)</t>
    <phoneticPr fontId="3"/>
  </si>
  <si>
    <t>Total Initial Investment Costs (w/ Contingencies)</t>
    <phoneticPr fontId="3"/>
  </si>
  <si>
    <t>PA</t>
    <phoneticPr fontId="3"/>
  </si>
  <si>
    <t>OF</t>
    <phoneticPr fontId="3"/>
  </si>
  <si>
    <t>FC</t>
    <phoneticPr fontId="3"/>
  </si>
  <si>
    <t>Data either from above Table or Detailed Estimated Cost (2a.FCosts)*</t>
    <phoneticPr fontId="3"/>
  </si>
  <si>
    <t>Detailed Estimated Cost*</t>
    <phoneticPr fontId="3"/>
  </si>
  <si>
    <r>
      <rPr>
        <b/>
        <sz val="11"/>
        <rFont val="游ゴシック"/>
        <family val="3"/>
        <charset val="128"/>
        <scheme val="minor"/>
      </rPr>
      <t>*</t>
    </r>
    <r>
      <rPr>
        <sz val="11"/>
        <rFont val="游ゴシック"/>
        <family val="3"/>
        <charset val="128"/>
        <scheme val="minor"/>
      </rPr>
      <t>There are two methods to enter data and calculate total initial investment costs. One way is to enter cost data directly into the 2b.FCosts sheet. The other way is to enter cost data into the 2a.FCosts sheet, which is based on the Detailed Estimated Cost form (Annexure V(a) of the DPP Manual).  Choose either. Do not use both simultaneously.</t>
    </r>
    <phoneticPr fontId="3"/>
  </si>
  <si>
    <r>
      <rPr>
        <b/>
        <sz val="11"/>
        <color theme="1"/>
        <rFont val="游ゴシック"/>
        <family val="3"/>
        <charset val="128"/>
        <scheme val="minor"/>
      </rPr>
      <t>*</t>
    </r>
    <r>
      <rPr>
        <sz val="11"/>
        <color theme="1"/>
        <rFont val="游ゴシック"/>
        <family val="2"/>
        <scheme val="minor"/>
      </rPr>
      <t>There are two methods to enter data and calculate total initial investment costs. One way is to enter cost data directly into this 2b.FCosts sheet. The other way is to enter cost data into the 2a.FCosts sheet, which is based on the Detailed Estimated Cost form (Annexure V(a) of the DPP Manual).  Choose either. Do not use both simultaneously.</t>
    </r>
    <phoneticPr fontId="3"/>
  </si>
  <si>
    <t xml:space="preserve"> *The salvage value is calculated applying the declining depreciation method; that is, [salvage value]=[total costs of fixed assets]÷[1+[depreciation rate]]^t, where t=[years of project life].</t>
    <phoneticPr fontId="3"/>
  </si>
  <si>
    <r>
      <t xml:space="preserve">Base Costs (w/o Contingencies) </t>
    </r>
    <r>
      <rPr>
        <b/>
        <sz val="11"/>
        <color rgb="FFFF0000"/>
        <rFont val="游ゴシック"/>
        <family val="3"/>
        <charset val="128"/>
        <scheme val="minor"/>
      </rPr>
      <t>- Transfers</t>
    </r>
    <phoneticPr fontId="3"/>
  </si>
  <si>
    <t>Materials &amp; Equipment Costs [=LC*SPF+FC*(Exchange Rate)]</t>
    <phoneticPr fontId="3"/>
  </si>
  <si>
    <t xml:space="preserve">    Skilled Workers [=LC*SPF+FC*(Exchange Rate)]</t>
    <phoneticPr fontId="3"/>
  </si>
  <si>
    <r>
      <t xml:space="preserve">    Unskilled Workers [=LC*</t>
    </r>
    <r>
      <rPr>
        <u/>
        <sz val="11"/>
        <color theme="1"/>
        <rFont val="游ゴシック"/>
        <family val="3"/>
        <charset val="128"/>
        <scheme val="minor"/>
      </rPr>
      <t>SWRF</t>
    </r>
    <r>
      <rPr>
        <sz val="11"/>
        <color theme="1"/>
        <rFont val="游ゴシック"/>
        <family val="2"/>
        <scheme val="minor"/>
      </rPr>
      <t>+FC*(Exchange Rate)]</t>
    </r>
    <phoneticPr fontId="3"/>
  </si>
  <si>
    <t>Land Acquisition/Compensation Costs [=LC*SPF+FC*(Exchange Rate)]</t>
    <phoneticPr fontId="3"/>
  </si>
  <si>
    <t>Consultant Costs [=LC*SPF+FC*(Exchange Rate)]</t>
    <phoneticPr fontId="3"/>
  </si>
  <si>
    <t>General/Administrative Costs (Overhead Costs) [=LC*SPF+FC*(Exchange Rate)]</t>
    <phoneticPr fontId="3"/>
  </si>
  <si>
    <t>Physical Contingency [=LC*SPF+FC*(Exchange Rate)]</t>
    <phoneticPr fontId="3"/>
  </si>
  <si>
    <r>
      <t xml:space="preserve">Total Initial Investment Costs (BC + Physical Contingency) </t>
    </r>
    <r>
      <rPr>
        <b/>
        <sz val="11"/>
        <color rgb="FFFF0000"/>
        <rFont val="游ゴシック"/>
        <family val="3"/>
        <charset val="128"/>
        <scheme val="minor"/>
      </rPr>
      <t>- Transfers</t>
    </r>
    <phoneticPr fontId="3"/>
  </si>
  <si>
    <t>Cost Data</t>
    <phoneticPr fontId="3"/>
  </si>
  <si>
    <t>LC</t>
    <phoneticPr fontId="3"/>
  </si>
  <si>
    <t>Annual Initial Investment Breakdowns during Construction (%)</t>
    <phoneticPr fontId="3"/>
  </si>
  <si>
    <t>Annual Operating Cost Levels after Construction (cumulative %)</t>
    <phoneticPr fontId="3"/>
  </si>
  <si>
    <t>Annual Revenue Generation during Construction (cumulative %)</t>
    <phoneticPr fontId="3"/>
  </si>
  <si>
    <t>Annual Revenue Generation after Construction (cumulative %)</t>
    <phoneticPr fontId="3"/>
  </si>
  <si>
    <t>Annual Operating Costs after Construction (cumulative %)</t>
    <phoneticPr fontId="3"/>
  </si>
  <si>
    <t>Input Purchase [=LC*SPF+FC*(Exchange Rate)]</t>
    <phoneticPr fontId="3"/>
  </si>
  <si>
    <t>Spares &amp; Maintenance [=LC*SPF+FC*(Exchange Rate)]</t>
    <phoneticPr fontId="3"/>
  </si>
  <si>
    <t>Insurance [=LC*SPF+FC*(Exchange Rate)]</t>
    <phoneticPr fontId="3"/>
  </si>
  <si>
    <r>
      <t xml:space="preserve">    Unskilled Workers [=LC*</t>
    </r>
    <r>
      <rPr>
        <u/>
        <sz val="11"/>
        <rFont val="游ゴシック"/>
        <family val="3"/>
        <charset val="128"/>
        <scheme val="minor"/>
      </rPr>
      <t>SWRF</t>
    </r>
    <r>
      <rPr>
        <sz val="11"/>
        <rFont val="游ゴシック"/>
        <family val="3"/>
        <charset val="128"/>
        <scheme val="minor"/>
      </rPr>
      <t>+FC*(Exchange Rate)]</t>
    </r>
    <phoneticPr fontId="3"/>
  </si>
  <si>
    <t xml:space="preserve">   Conversion Factor for Traded Goods</t>
    <phoneticPr fontId="3"/>
  </si>
  <si>
    <t xml:space="preserve">    Shadow Price Factor (SPF) [=1/Conversion Factor for Traded Goods]</t>
    <phoneticPr fontId="3"/>
  </si>
  <si>
    <t>passcode: p1234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</si>
</sst>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_(* #,##0.00_);_(* \(#,##0.00\);_(* &quot;-&quot;??_);_(@_)"/>
    <numFmt numFmtId="177" formatCode="0.0%"/>
    <numFmt numFmtId="178" formatCode="0.0"/>
    <numFmt numFmtId="179" formatCode="dd\ mmm\ yyyy_);\(###0\);&quot;-  &quot;;&quot; &quot;@&quot; &quot;"/>
    <numFmt numFmtId="180" formatCode="0.000"/>
    <numFmt numFmtId="181" formatCode="0.00_);[Red]\(0.00\)"/>
    <numFmt numFmtId="182" formatCode="0_);[Red]\(0\)"/>
    <numFmt numFmtId="183" formatCode="0.000%"/>
    <numFmt numFmtId="184" formatCode="0.000000"/>
    <numFmt numFmtId="185" formatCode="#,##0.0_);[Red]\(#,##0.0\)"/>
    <numFmt numFmtId="186" formatCode="#,##0.000_);[Red]\(#,##0.000\)"/>
  </numFmts>
  <fonts count="41" x14ac:knownFonts="1">
    <font>
      <sz val="11"/>
      <color theme="1"/>
      <name val="游ゴシック"/>
      <family val="2"/>
      <scheme val="minor"/>
    </font>
    <font>
      <sz val="11"/>
      <color theme="1"/>
      <name val="游ゴシック"/>
      <family val="2"/>
      <scheme val="minor"/>
    </font>
    <font>
      <sz val="10"/>
      <name val="Arial"/>
      <family val="2"/>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1"/>
      <color rgb="FF002060"/>
      <name val="游ゴシック"/>
      <family val="3"/>
      <charset val="128"/>
      <scheme val="minor"/>
    </font>
    <font>
      <sz val="11"/>
      <name val="游ゴシック"/>
      <family val="3"/>
      <charset val="128"/>
      <scheme val="minor"/>
    </font>
    <font>
      <b/>
      <sz val="12"/>
      <name val="游ゴシック"/>
      <family val="3"/>
      <charset val="128"/>
      <scheme val="minor"/>
    </font>
    <font>
      <b/>
      <sz val="11"/>
      <name val="游ゴシック"/>
      <family val="3"/>
      <charset val="128"/>
      <scheme val="minor"/>
    </font>
    <font>
      <sz val="18"/>
      <name val="游ゴシック"/>
      <family val="3"/>
      <charset val="128"/>
      <scheme val="minor"/>
    </font>
    <font>
      <b/>
      <u/>
      <sz val="11"/>
      <color theme="1"/>
      <name val="游ゴシック"/>
      <family val="3"/>
      <charset val="128"/>
      <scheme val="minor"/>
    </font>
    <font>
      <sz val="12"/>
      <name val="游ゴシック"/>
      <family val="3"/>
      <charset val="128"/>
      <scheme val="minor"/>
    </font>
    <font>
      <i/>
      <sz val="1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sz val="9"/>
      <name val="游ゴシック"/>
      <family val="3"/>
      <charset val="128"/>
      <scheme val="minor"/>
    </font>
    <font>
      <sz val="9"/>
      <color theme="1"/>
      <name val="游ゴシック"/>
      <family val="2"/>
      <scheme val="minor"/>
    </font>
    <font>
      <b/>
      <i/>
      <u/>
      <sz val="11"/>
      <color theme="4" tint="-0.249977111117893"/>
      <name val="游ゴシック"/>
      <family val="3"/>
      <charset val="128"/>
      <scheme val="minor"/>
    </font>
    <font>
      <b/>
      <i/>
      <u/>
      <sz val="11"/>
      <color theme="5" tint="-0.249977111117893"/>
      <name val="游ゴシック"/>
      <family val="3"/>
      <charset val="128"/>
      <scheme val="minor"/>
    </font>
    <font>
      <strike/>
      <sz val="11"/>
      <color theme="1"/>
      <name val="游ゴシック"/>
      <family val="2"/>
      <scheme val="minor"/>
    </font>
    <font>
      <strike/>
      <sz val="11"/>
      <color theme="1"/>
      <name val="游ゴシック"/>
      <family val="3"/>
      <charset val="128"/>
      <scheme val="minor"/>
    </font>
    <font>
      <strike/>
      <sz val="9"/>
      <color theme="1"/>
      <name val="游ゴシック"/>
      <family val="3"/>
      <charset val="128"/>
      <scheme val="minor"/>
    </font>
    <font>
      <b/>
      <strike/>
      <sz val="11"/>
      <name val="游ゴシック"/>
      <family val="3"/>
      <charset val="128"/>
      <scheme val="minor"/>
    </font>
    <font>
      <strike/>
      <sz val="11"/>
      <name val="游ゴシック"/>
      <family val="3"/>
      <charset val="128"/>
      <scheme val="minor"/>
    </font>
    <font>
      <sz val="9"/>
      <color rgb="FFFF0000"/>
      <name val="游ゴシック"/>
      <family val="2"/>
      <scheme val="minor"/>
    </font>
    <font>
      <sz val="9"/>
      <color rgb="FF0070C0"/>
      <name val="游ゴシック"/>
      <family val="3"/>
      <charset val="128"/>
      <scheme val="minor"/>
    </font>
    <font>
      <i/>
      <u/>
      <sz val="11"/>
      <name val="游ゴシック"/>
      <family val="3"/>
      <charset val="128"/>
      <scheme val="minor"/>
    </font>
    <font>
      <u/>
      <sz val="11"/>
      <color theme="10"/>
      <name val="游ゴシック"/>
      <family val="2"/>
      <scheme val="minor"/>
    </font>
    <font>
      <u/>
      <sz val="11"/>
      <color theme="10"/>
      <name val="游ゴシック"/>
      <family val="3"/>
      <charset val="128"/>
      <scheme val="minor"/>
    </font>
    <font>
      <b/>
      <u/>
      <sz val="11"/>
      <color theme="10"/>
      <name val="游ゴシック"/>
      <family val="3"/>
      <charset val="128"/>
      <scheme val="minor"/>
    </font>
    <font>
      <b/>
      <sz val="12"/>
      <color rgb="FFFF0000"/>
      <name val="游ゴシック"/>
      <family val="3"/>
      <charset val="128"/>
      <scheme val="minor"/>
    </font>
    <font>
      <sz val="11"/>
      <color rgb="FF0070C0"/>
      <name val="游ゴシック"/>
      <family val="3"/>
      <charset val="128"/>
      <scheme val="minor"/>
    </font>
    <font>
      <b/>
      <i/>
      <u/>
      <sz val="11"/>
      <color rgb="FFFF0000"/>
      <name val="游ゴシック"/>
      <family val="3"/>
      <charset val="128"/>
      <scheme val="minor"/>
    </font>
    <font>
      <u/>
      <sz val="11"/>
      <name val="游ゴシック"/>
      <family val="3"/>
      <charset val="128"/>
      <scheme val="minor"/>
    </font>
    <font>
      <b/>
      <i/>
      <sz val="11"/>
      <color theme="1"/>
      <name val="游ゴシック"/>
      <family val="3"/>
      <charset val="128"/>
      <scheme val="minor"/>
    </font>
    <font>
      <u/>
      <sz val="11"/>
      <color theme="1"/>
      <name val="游ゴシック"/>
      <family val="3"/>
      <charset val="128"/>
      <scheme val="minor"/>
    </font>
    <font>
      <b/>
      <strike/>
      <sz val="11"/>
      <color theme="1"/>
      <name val="游ゴシック"/>
      <family val="3"/>
      <charset val="128"/>
      <scheme val="minor"/>
    </font>
  </fonts>
  <fills count="13">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EFE5F7"/>
        <bgColor indexed="64"/>
      </patternFill>
    </fill>
  </fills>
  <borders count="39">
    <border>
      <left/>
      <right/>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179" fontId="2" fillId="0" borderId="0" applyFont="0" applyFill="0" applyBorder="0" applyProtection="0">
      <alignment vertical="top"/>
    </xf>
    <xf numFmtId="0" fontId="2" fillId="0" borderId="0"/>
    <xf numFmtId="38" fontId="1" fillId="0" borderId="0" applyFont="0" applyFill="0" applyBorder="0" applyAlignment="0" applyProtection="0">
      <alignment vertical="center"/>
    </xf>
    <xf numFmtId="0" fontId="2" fillId="0" borderId="0"/>
    <xf numFmtId="176" fontId="2" fillId="0" borderId="0" applyFont="0" applyFill="0" applyBorder="0" applyAlignment="0" applyProtection="0"/>
    <xf numFmtId="0" fontId="2" fillId="0" borderId="0"/>
    <xf numFmtId="40" fontId="1" fillId="0" borderId="0" applyFont="0" applyFill="0" applyBorder="0" applyAlignment="0" applyProtection="0">
      <alignment vertical="center"/>
    </xf>
    <xf numFmtId="0" fontId="31" fillId="0" borderId="0" applyNumberFormat="0" applyFill="0" applyBorder="0" applyAlignment="0" applyProtection="0"/>
  </cellStyleXfs>
  <cellXfs count="412">
    <xf numFmtId="0" fontId="0" fillId="0" borderId="0" xfId="0"/>
    <xf numFmtId="0" fontId="0" fillId="0" borderId="4" xfId="0" applyBorder="1"/>
    <xf numFmtId="180" fontId="0" fillId="0" borderId="0" xfId="0" applyNumberFormat="1"/>
    <xf numFmtId="0" fontId="0" fillId="3" borderId="0" xfId="0" applyFill="1"/>
    <xf numFmtId="0" fontId="0" fillId="4" borderId="0" xfId="0" applyFill="1"/>
    <xf numFmtId="0" fontId="5" fillId="3" borderId="0" xfId="0" applyFont="1" applyFill="1"/>
    <xf numFmtId="0" fontId="5" fillId="0" borderId="0" xfId="0" applyFont="1"/>
    <xf numFmtId="0" fontId="0" fillId="4" borderId="3" xfId="0" applyFill="1" applyBorder="1" applyAlignment="1">
      <alignment horizontal="center" vertical="center"/>
    </xf>
    <xf numFmtId="0" fontId="0" fillId="4" borderId="3" xfId="0" applyFill="1" applyBorder="1" applyAlignment="1">
      <alignment horizontal="center" vertical="center" wrapText="1"/>
    </xf>
    <xf numFmtId="0" fontId="0" fillId="4" borderId="3" xfId="0" applyFill="1" applyBorder="1"/>
    <xf numFmtId="0" fontId="4" fillId="0" borderId="0" xfId="0" applyFont="1"/>
    <xf numFmtId="0" fontId="0" fillId="4" borderId="5" xfId="0" applyFill="1" applyBorder="1" applyAlignment="1">
      <alignment horizontal="center"/>
    </xf>
    <xf numFmtId="0" fontId="0" fillId="4" borderId="4" xfId="0" applyFill="1" applyBorder="1" applyAlignment="1">
      <alignment horizontal="center" vertical="center"/>
    </xf>
    <xf numFmtId="0" fontId="0" fillId="4" borderId="4" xfId="0" applyFill="1" applyBorder="1" applyAlignment="1">
      <alignment horizontal="center" wrapText="1"/>
    </xf>
    <xf numFmtId="0" fontId="0" fillId="4" borderId="4" xfId="1" applyNumberFormat="1" applyFont="1" applyFill="1" applyBorder="1" applyAlignment="1">
      <alignment horizontal="center" vertical="center"/>
    </xf>
    <xf numFmtId="0" fontId="4" fillId="4" borderId="3" xfId="0" applyFont="1" applyFill="1" applyBorder="1" applyAlignment="1">
      <alignment horizontal="center"/>
    </xf>
    <xf numFmtId="0" fontId="0" fillId="4" borderId="0" xfId="0" applyFill="1" applyAlignment="1">
      <alignment horizontal="left" vertical="center"/>
    </xf>
    <xf numFmtId="0" fontId="0" fillId="4" borderId="4" xfId="0" applyFill="1" applyBorder="1"/>
    <xf numFmtId="0" fontId="4" fillId="4" borderId="4" xfId="0" applyFont="1" applyFill="1" applyBorder="1"/>
    <xf numFmtId="0" fontId="6" fillId="4" borderId="0" xfId="0" applyFont="1" applyFill="1"/>
    <xf numFmtId="0" fontId="4" fillId="4" borderId="0" xfId="0" applyFont="1" applyFill="1"/>
    <xf numFmtId="0" fontId="4" fillId="4" borderId="5" xfId="0" applyFont="1" applyFill="1" applyBorder="1"/>
    <xf numFmtId="0" fontId="4" fillId="0" borderId="0" xfId="0" applyFont="1" applyAlignment="1">
      <alignment horizontal="center"/>
    </xf>
    <xf numFmtId="0" fontId="7" fillId="0" borderId="0" xfId="0" applyFont="1"/>
    <xf numFmtId="0" fontId="8" fillId="0" borderId="0" xfId="0" applyFont="1"/>
    <xf numFmtId="0" fontId="9" fillId="3" borderId="0" xfId="0" applyFont="1" applyFill="1"/>
    <xf numFmtId="0" fontId="8" fillId="3" borderId="0" xfId="0" applyFont="1" applyFill="1"/>
    <xf numFmtId="0" fontId="9" fillId="0" borderId="0" xfId="0" applyFont="1"/>
    <xf numFmtId="0" fontId="8" fillId="4" borderId="0" xfId="0" applyFont="1" applyFill="1"/>
    <xf numFmtId="9" fontId="8" fillId="0" borderId="0" xfId="1" applyFont="1" applyFill="1" applyBorder="1"/>
    <xf numFmtId="0" fontId="10" fillId="0" borderId="0" xfId="0" applyFont="1"/>
    <xf numFmtId="0" fontId="8" fillId="4" borderId="3" xfId="0" applyFont="1" applyFill="1" applyBorder="1" applyAlignment="1">
      <alignment horizontal="center" vertical="center"/>
    </xf>
    <xf numFmtId="0" fontId="8" fillId="4" borderId="3" xfId="0" applyFont="1" applyFill="1" applyBorder="1" applyAlignment="1">
      <alignment horizontal="center" wrapText="1"/>
    </xf>
    <xf numFmtId="0" fontId="8" fillId="4" borderId="3" xfId="0" applyFont="1" applyFill="1" applyBorder="1" applyAlignment="1">
      <alignment horizontal="center" vertical="center" wrapText="1"/>
    </xf>
    <xf numFmtId="0" fontId="11" fillId="0" borderId="0" xfId="0" applyFont="1" applyAlignment="1">
      <alignment horizontal="center" vertical="center"/>
    </xf>
    <xf numFmtId="0" fontId="10" fillId="4" borderId="3" xfId="0" applyFont="1" applyFill="1" applyBorder="1" applyAlignment="1">
      <alignment horizontal="center"/>
    </xf>
    <xf numFmtId="0" fontId="8" fillId="4" borderId="0" xfId="0" applyFont="1" applyFill="1" applyAlignment="1">
      <alignment horizontal="left" vertical="center"/>
    </xf>
    <xf numFmtId="0" fontId="8" fillId="0" borderId="4" xfId="0" applyFont="1" applyBorder="1"/>
    <xf numFmtId="38" fontId="0" fillId="0" borderId="0" xfId="0" applyNumberFormat="1"/>
    <xf numFmtId="38" fontId="4" fillId="0" borderId="4" xfId="0" applyNumberFormat="1" applyFont="1" applyBorder="1"/>
    <xf numFmtId="38" fontId="0" fillId="0" borderId="4" xfId="0" applyNumberFormat="1" applyBorder="1"/>
    <xf numFmtId="38" fontId="4" fillId="0" borderId="0" xfId="0" applyNumberFormat="1" applyFont="1"/>
    <xf numFmtId="38" fontId="4" fillId="0" borderId="5" xfId="0" applyNumberFormat="1" applyFont="1" applyBorder="1"/>
    <xf numFmtId="38" fontId="0" fillId="0" borderId="5" xfId="0" applyNumberFormat="1" applyBorder="1"/>
    <xf numFmtId="38" fontId="8" fillId="0" borderId="0" xfId="4" applyFont="1" applyFill="1" applyBorder="1" applyAlignment="1"/>
    <xf numFmtId="38" fontId="8" fillId="0" borderId="3" xfId="4" applyFont="1" applyFill="1" applyBorder="1" applyAlignment="1"/>
    <xf numFmtId="38" fontId="8" fillId="0" borderId="4" xfId="4" applyFont="1" applyFill="1" applyBorder="1" applyAlignment="1"/>
    <xf numFmtId="38" fontId="8" fillId="0" borderId="5" xfId="4" applyFont="1" applyFill="1" applyBorder="1" applyAlignment="1"/>
    <xf numFmtId="38" fontId="8" fillId="0" borderId="0" xfId="4" applyFont="1" applyAlignment="1"/>
    <xf numFmtId="38" fontId="8" fillId="0" borderId="3" xfId="4" applyFont="1" applyBorder="1" applyAlignment="1"/>
    <xf numFmtId="38" fontId="0" fillId="0" borderId="5" xfId="4" applyFont="1" applyBorder="1" applyAlignment="1"/>
    <xf numFmtId="38" fontId="0" fillId="0" borderId="0" xfId="4" applyFont="1" applyAlignment="1"/>
    <xf numFmtId="38" fontId="0" fillId="0" borderId="0" xfId="4" applyFont="1" applyFill="1" applyAlignment="1"/>
    <xf numFmtId="38" fontId="0" fillId="0" borderId="3" xfId="4" applyFont="1" applyBorder="1" applyAlignment="1"/>
    <xf numFmtId="38" fontId="0" fillId="0" borderId="0" xfId="4" applyFont="1" applyFill="1" applyBorder="1" applyAlignment="1"/>
    <xf numFmtId="38" fontId="0" fillId="0" borderId="3" xfId="4" applyFont="1" applyFill="1" applyBorder="1" applyAlignment="1"/>
    <xf numFmtId="38" fontId="0" fillId="0" borderId="0" xfId="4" applyFont="1" applyBorder="1" applyAlignment="1"/>
    <xf numFmtId="38" fontId="4" fillId="0" borderId="0" xfId="4" applyFont="1" applyBorder="1" applyAlignment="1"/>
    <xf numFmtId="38" fontId="4" fillId="0" borderId="5" xfId="4" applyFont="1" applyBorder="1" applyAlignment="1"/>
    <xf numFmtId="38" fontId="4" fillId="0" borderId="4" xfId="4" applyFont="1" applyBorder="1" applyAlignment="1"/>
    <xf numFmtId="38" fontId="0" fillId="0" borderId="4" xfId="4" applyFont="1" applyBorder="1" applyAlignment="1"/>
    <xf numFmtId="38" fontId="0" fillId="0" borderId="4" xfId="4" applyFont="1" applyFill="1" applyBorder="1" applyAlignment="1"/>
    <xf numFmtId="38" fontId="4" fillId="0" borderId="3" xfId="4" applyFont="1" applyBorder="1" applyAlignment="1"/>
    <xf numFmtId="0" fontId="4" fillId="4" borderId="5" xfId="0" applyFont="1" applyFill="1" applyBorder="1" applyAlignment="1">
      <alignment horizontal="center"/>
    </xf>
    <xf numFmtId="0" fontId="0" fillId="4" borderId="3" xfId="1" applyNumberFormat="1" applyFont="1" applyFill="1" applyBorder="1" applyAlignment="1">
      <alignment horizontal="center" vertical="center"/>
    </xf>
    <xf numFmtId="38" fontId="0" fillId="0" borderId="5" xfId="4" applyFont="1" applyFill="1" applyBorder="1" applyAlignment="1"/>
    <xf numFmtId="9" fontId="0" fillId="0" borderId="0" xfId="1" applyFont="1" applyFill="1" applyBorder="1"/>
    <xf numFmtId="38" fontId="6" fillId="0" borderId="5" xfId="4" applyFont="1" applyBorder="1" applyAlignment="1"/>
    <xf numFmtId="0" fontId="0" fillId="0" borderId="0" xfId="0" applyAlignment="1">
      <alignment horizontal="center" vertical="center"/>
    </xf>
    <xf numFmtId="38" fontId="4" fillId="0" borderId="0" xfId="4" applyFont="1" applyFill="1" applyBorder="1" applyAlignment="1"/>
    <xf numFmtId="38" fontId="10" fillId="0" borderId="3" xfId="4" applyFont="1" applyFill="1" applyBorder="1" applyAlignment="1"/>
    <xf numFmtId="0" fontId="10" fillId="0" borderId="0" xfId="0" applyFont="1" applyAlignment="1">
      <alignment horizontal="center"/>
    </xf>
    <xf numFmtId="9" fontId="0" fillId="0" borderId="4" xfId="1" applyFont="1" applyBorder="1"/>
    <xf numFmtId="9" fontId="0" fillId="0" borderId="4" xfId="1" applyFont="1" applyFill="1" applyBorder="1"/>
    <xf numFmtId="38" fontId="0" fillId="0" borderId="0" xfId="4" quotePrefix="1" applyFont="1" applyBorder="1" applyAlignment="1">
      <alignment horizontal="center"/>
    </xf>
    <xf numFmtId="2" fontId="10" fillId="0" borderId="0" xfId="1" applyNumberFormat="1" applyFont="1" applyFill="1" applyBorder="1"/>
    <xf numFmtId="9" fontId="0" fillId="0" borderId="2" xfId="1" applyFont="1" applyFill="1" applyBorder="1"/>
    <xf numFmtId="177" fontId="4" fillId="0" borderId="0" xfId="1" applyNumberFormat="1" applyFont="1" applyBorder="1" applyAlignment="1"/>
    <xf numFmtId="0" fontId="6" fillId="0" borderId="0" xfId="0" applyFont="1"/>
    <xf numFmtId="177" fontId="0" fillId="0" borderId="0" xfId="1" applyNumberFormat="1" applyFont="1"/>
    <xf numFmtId="0" fontId="0" fillId="4" borderId="0" xfId="0" applyFill="1" applyAlignment="1">
      <alignment horizontal="center"/>
    </xf>
    <xf numFmtId="38" fontId="6" fillId="0" borderId="0" xfId="4" applyFont="1" applyBorder="1" applyAlignment="1"/>
    <xf numFmtId="0" fontId="0" fillId="6" borderId="4" xfId="0" applyFill="1" applyBorder="1" applyAlignment="1">
      <alignment horizontal="center" vertical="center"/>
    </xf>
    <xf numFmtId="0" fontId="0" fillId="6" borderId="4" xfId="1" applyNumberFormat="1" applyFont="1" applyFill="1" applyBorder="1" applyAlignment="1">
      <alignment horizontal="center" vertical="center"/>
    </xf>
    <xf numFmtId="0" fontId="0" fillId="6" borderId="5" xfId="0" applyFill="1" applyBorder="1" applyAlignment="1">
      <alignment horizontal="center"/>
    </xf>
    <xf numFmtId="0" fontId="0" fillId="6" borderId="3" xfId="0" applyFill="1" applyBorder="1" applyAlignment="1">
      <alignment horizontal="center" vertical="center"/>
    </xf>
    <xf numFmtId="0" fontId="0" fillId="6" borderId="3" xfId="1" applyNumberFormat="1" applyFont="1" applyFill="1" applyBorder="1" applyAlignment="1">
      <alignment horizontal="center" vertical="center"/>
    </xf>
    <xf numFmtId="40" fontId="0" fillId="0" borderId="0" xfId="0" applyNumberFormat="1"/>
    <xf numFmtId="38" fontId="8" fillId="0" borderId="0" xfId="0" applyNumberFormat="1" applyFont="1" applyAlignment="1">
      <alignment horizontal="right" wrapText="1"/>
    </xf>
    <xf numFmtId="0" fontId="13" fillId="0" borderId="0" xfId="5" applyFont="1"/>
    <xf numFmtId="0" fontId="13" fillId="3" borderId="0" xfId="5" applyFont="1" applyFill="1"/>
    <xf numFmtId="0" fontId="9" fillId="3" borderId="0" xfId="5" applyFont="1" applyFill="1" applyAlignment="1">
      <alignment horizontal="center"/>
    </xf>
    <xf numFmtId="0" fontId="8" fillId="0" borderId="0" xfId="5" applyFont="1"/>
    <xf numFmtId="0" fontId="8" fillId="0" borderId="10" xfId="5" applyFont="1" applyBorder="1"/>
    <xf numFmtId="0" fontId="8" fillId="0" borderId="3" xfId="5" applyFont="1" applyBorder="1"/>
    <xf numFmtId="0" fontId="8" fillId="0" borderId="11" xfId="5" applyFont="1" applyBorder="1"/>
    <xf numFmtId="0" fontId="8" fillId="0" borderId="17" xfId="5" applyFont="1" applyBorder="1" applyAlignment="1">
      <alignment horizontal="center" vertical="center" wrapText="1"/>
    </xf>
    <xf numFmtId="0" fontId="8" fillId="0" borderId="17" xfId="5" applyFont="1" applyBorder="1" applyAlignment="1">
      <alignment horizontal="left" vertical="center" wrapText="1"/>
    </xf>
    <xf numFmtId="0" fontId="8" fillId="0" borderId="17" xfId="5" applyFont="1" applyBorder="1" applyAlignment="1">
      <alignment horizontal="center"/>
    </xf>
    <xf numFmtId="2" fontId="8" fillId="0" borderId="0" xfId="5" applyNumberFormat="1" applyFont="1"/>
    <xf numFmtId="176" fontId="8" fillId="0" borderId="0" xfId="6" applyFont="1"/>
    <xf numFmtId="0" fontId="15" fillId="0" borderId="17" xfId="5" applyFont="1" applyBorder="1" applyAlignment="1">
      <alignment horizontal="center"/>
    </xf>
    <xf numFmtId="10" fontId="15" fillId="0" borderId="17" xfId="5" applyNumberFormat="1" applyFont="1" applyBorder="1" applyAlignment="1">
      <alignment horizontal="center"/>
    </xf>
    <xf numFmtId="0" fontId="8" fillId="0" borderId="17" xfId="5" applyFont="1" applyBorder="1"/>
    <xf numFmtId="0" fontId="8" fillId="4" borderId="17" xfId="5" applyFont="1" applyFill="1" applyBorder="1" applyAlignment="1">
      <alignment horizontal="center" vertical="top" wrapText="1"/>
    </xf>
    <xf numFmtId="0" fontId="8" fillId="4" borderId="17" xfId="5" applyFont="1" applyFill="1" applyBorder="1" applyAlignment="1">
      <alignment horizontal="center" wrapText="1"/>
    </xf>
    <xf numFmtId="0" fontId="14" fillId="4" borderId="17" xfId="5" quotePrefix="1" applyFont="1" applyFill="1" applyBorder="1" applyAlignment="1">
      <alignment horizontal="center" vertical="center" wrapText="1"/>
    </xf>
    <xf numFmtId="0" fontId="14" fillId="4" borderId="17" xfId="5" quotePrefix="1" applyFont="1" applyFill="1" applyBorder="1" applyAlignment="1">
      <alignment horizontal="center" vertical="center"/>
    </xf>
    <xf numFmtId="0" fontId="5" fillId="0" borderId="0" xfId="0" applyFont="1" applyAlignment="1">
      <alignment horizontal="right"/>
    </xf>
    <xf numFmtId="38" fontId="9" fillId="5" borderId="0" xfId="4" applyFont="1" applyFill="1" applyAlignment="1"/>
    <xf numFmtId="177" fontId="5" fillId="5" borderId="0" xfId="0" applyNumberFormat="1" applyFont="1" applyFill="1"/>
    <xf numFmtId="181" fontId="5" fillId="5" borderId="0" xfId="0" applyNumberFormat="1" applyFont="1" applyFill="1"/>
    <xf numFmtId="0" fontId="6" fillId="4" borderId="4" xfId="0" applyFont="1" applyFill="1" applyBorder="1" applyAlignment="1">
      <alignment horizontal="center" vertical="center"/>
    </xf>
    <xf numFmtId="0" fontId="6" fillId="4" borderId="4" xfId="0" applyFont="1" applyFill="1" applyBorder="1"/>
    <xf numFmtId="0" fontId="6" fillId="4" borderId="5" xfId="0" applyFont="1" applyFill="1" applyBorder="1"/>
    <xf numFmtId="0" fontId="6" fillId="4" borderId="4" xfId="0" applyFont="1" applyFill="1" applyBorder="1" applyAlignment="1">
      <alignment horizontal="center" vertical="center" wrapText="1"/>
    </xf>
    <xf numFmtId="40" fontId="4" fillId="0" borderId="0" xfId="4" applyNumberFormat="1" applyFont="1" applyBorder="1" applyAlignment="1"/>
    <xf numFmtId="40" fontId="4" fillId="0" borderId="0" xfId="0" applyNumberFormat="1" applyFont="1"/>
    <xf numFmtId="0" fontId="6" fillId="0" borderId="0" xfId="0" applyFont="1" applyAlignment="1">
      <alignment horizontal="center" vertical="center" wrapText="1"/>
    </xf>
    <xf numFmtId="177" fontId="4" fillId="0" borderId="5" xfId="1" applyNumberFormat="1" applyFont="1" applyBorder="1"/>
    <xf numFmtId="177" fontId="0" fillId="0" borderId="5" xfId="1" applyNumberFormat="1" applyFont="1" applyBorder="1"/>
    <xf numFmtId="0" fontId="13" fillId="0" borderId="0" xfId="5" applyFont="1" applyAlignment="1">
      <alignment horizontal="center"/>
    </xf>
    <xf numFmtId="0" fontId="13" fillId="0" borderId="0" xfId="5" quotePrefix="1" applyFont="1" applyAlignment="1">
      <alignment horizontal="right"/>
    </xf>
    <xf numFmtId="0" fontId="8" fillId="0" borderId="17" xfId="5" applyFont="1" applyBorder="1" applyAlignment="1">
      <alignment vertical="center" wrapText="1"/>
    </xf>
    <xf numFmtId="9" fontId="8" fillId="0" borderId="17" xfId="1" applyFont="1" applyBorder="1" applyAlignment="1">
      <alignment vertical="top"/>
    </xf>
    <xf numFmtId="38" fontId="16" fillId="0" borderId="3" xfId="4" applyFont="1" applyBorder="1" applyAlignment="1"/>
    <xf numFmtId="38" fontId="16" fillId="0" borderId="5" xfId="4" applyFont="1" applyBorder="1" applyAlignment="1"/>
    <xf numFmtId="178" fontId="0" fillId="0" borderId="0" xfId="0" applyNumberFormat="1"/>
    <xf numFmtId="0" fontId="17" fillId="0" borderId="0" xfId="0" applyFont="1"/>
    <xf numFmtId="0" fontId="17" fillId="3" borderId="0" xfId="0" applyFont="1" applyFill="1"/>
    <xf numFmtId="0" fontId="17" fillId="4" borderId="0" xfId="0" applyFont="1" applyFill="1" applyAlignment="1">
      <alignment horizontal="center"/>
    </xf>
    <xf numFmtId="0" fontId="17" fillId="0" borderId="0" xfId="0" applyFont="1" applyAlignment="1">
      <alignment horizontal="center"/>
    </xf>
    <xf numFmtId="0" fontId="17" fillId="4" borderId="0" xfId="0" quotePrefix="1" applyFont="1" applyFill="1" applyAlignment="1">
      <alignment horizontal="center"/>
    </xf>
    <xf numFmtId="0" fontId="19" fillId="4" borderId="0" xfId="0" quotePrefix="1" applyFont="1" applyFill="1" applyAlignment="1">
      <alignment horizontal="center"/>
    </xf>
    <xf numFmtId="0" fontId="19" fillId="3" borderId="0" xfId="0" applyFont="1" applyFill="1" applyAlignment="1">
      <alignment horizontal="center"/>
    </xf>
    <xf numFmtId="0" fontId="19" fillId="4" borderId="0" xfId="0" quotePrefix="1" applyFont="1" applyFill="1" applyAlignment="1">
      <alignment horizontal="center" vertical="center"/>
    </xf>
    <xf numFmtId="0" fontId="20" fillId="0" borderId="0" xfId="0" quotePrefix="1" applyFont="1"/>
    <xf numFmtId="0" fontId="0" fillId="0" borderId="0" xfId="0" applyAlignment="1">
      <alignment horizontal="center"/>
    </xf>
    <xf numFmtId="9" fontId="0" fillId="0" borderId="0" xfId="0" applyNumberFormat="1"/>
    <xf numFmtId="0" fontId="17" fillId="0" borderId="4" xfId="0" applyFont="1" applyBorder="1" applyAlignment="1">
      <alignment horizontal="center"/>
    </xf>
    <xf numFmtId="177" fontId="0" fillId="0" borderId="4" xfId="1" applyNumberFormat="1" applyFont="1" applyBorder="1"/>
    <xf numFmtId="177" fontId="0" fillId="0" borderId="0" xfId="1" applyNumberFormat="1" applyFont="1" applyBorder="1"/>
    <xf numFmtId="0" fontId="17" fillId="0" borderId="5" xfId="0" applyFont="1" applyBorder="1" applyAlignment="1">
      <alignment horizontal="center"/>
    </xf>
    <xf numFmtId="38" fontId="0" fillId="0" borderId="14" xfId="0" applyNumberFormat="1" applyBorder="1"/>
    <xf numFmtId="177" fontId="0" fillId="0" borderId="12" xfId="1" applyNumberFormat="1" applyFont="1" applyBorder="1"/>
    <xf numFmtId="38" fontId="0" fillId="0" borderId="20" xfId="0" applyNumberFormat="1" applyBorder="1"/>
    <xf numFmtId="177" fontId="0" fillId="0" borderId="15" xfId="1" applyNumberFormat="1" applyFont="1" applyBorder="1"/>
    <xf numFmtId="38" fontId="0" fillId="0" borderId="19" xfId="0" applyNumberFormat="1" applyBorder="1"/>
    <xf numFmtId="177" fontId="0" fillId="0" borderId="18" xfId="1" applyNumberFormat="1" applyFont="1" applyBorder="1"/>
    <xf numFmtId="38" fontId="0" fillId="0" borderId="20" xfId="4" applyFont="1" applyBorder="1" applyAlignment="1"/>
    <xf numFmtId="38" fontId="0" fillId="0" borderId="19" xfId="4" applyFont="1" applyBorder="1" applyAlignment="1"/>
    <xf numFmtId="38" fontId="0" fillId="0" borderId="14" xfId="4" applyFont="1" applyBorder="1" applyAlignment="1"/>
    <xf numFmtId="177" fontId="0" fillId="0" borderId="15" xfId="0" applyNumberFormat="1" applyBorder="1"/>
    <xf numFmtId="177" fontId="0" fillId="0" borderId="18" xfId="0" applyNumberFormat="1" applyBorder="1"/>
    <xf numFmtId="177" fontId="0" fillId="0" borderId="9" xfId="0" applyNumberFormat="1" applyBorder="1"/>
    <xf numFmtId="38" fontId="0" fillId="0" borderId="9" xfId="0" applyNumberFormat="1" applyBorder="1"/>
    <xf numFmtId="0" fontId="17" fillId="4" borderId="4" xfId="0" applyFont="1" applyFill="1" applyBorder="1" applyAlignment="1">
      <alignment horizontal="center"/>
    </xf>
    <xf numFmtId="0" fontId="17" fillId="4" borderId="5" xfId="0" applyFont="1" applyFill="1" applyBorder="1" applyAlignment="1">
      <alignment horizontal="center"/>
    </xf>
    <xf numFmtId="0" fontId="0" fillId="4" borderId="19" xfId="0" applyFill="1" applyBorder="1" applyAlignment="1">
      <alignment horizontal="center"/>
    </xf>
    <xf numFmtId="0" fontId="0" fillId="4" borderId="18" xfId="0" applyFill="1" applyBorder="1" applyAlignment="1">
      <alignment horizontal="center"/>
    </xf>
    <xf numFmtId="0" fontId="0" fillId="4" borderId="20" xfId="0" applyFill="1" applyBorder="1" applyAlignment="1">
      <alignment horizontal="center"/>
    </xf>
    <xf numFmtId="0" fontId="0" fillId="4" borderId="15" xfId="0" applyFill="1" applyBorder="1" applyAlignment="1">
      <alignment horizontal="center"/>
    </xf>
    <xf numFmtId="0" fontId="0" fillId="4" borderId="0" xfId="0" applyFill="1" applyAlignment="1">
      <alignment horizontal="center" vertical="center" wrapText="1"/>
    </xf>
    <xf numFmtId="177" fontId="0" fillId="0" borderId="22" xfId="1" applyNumberFormat="1" applyFont="1" applyFill="1" applyBorder="1"/>
    <xf numFmtId="9" fontId="0" fillId="0" borderId="9" xfId="1" applyFont="1" applyBorder="1"/>
    <xf numFmtId="0" fontId="21" fillId="4" borderId="0" xfId="0" applyFont="1" applyFill="1"/>
    <xf numFmtId="0" fontId="22" fillId="4" borderId="0" xfId="0" applyFont="1" applyFill="1"/>
    <xf numFmtId="183" fontId="8" fillId="0" borderId="0" xfId="1" applyNumberFormat="1" applyFont="1"/>
    <xf numFmtId="0" fontId="8" fillId="0" borderId="10" xfId="5" applyFont="1" applyBorder="1" applyAlignment="1">
      <alignment vertical="center" wrapText="1"/>
    </xf>
    <xf numFmtId="10" fontId="8" fillId="0" borderId="17" xfId="5" applyNumberFormat="1" applyFont="1" applyBorder="1" applyAlignment="1">
      <alignment horizontal="center"/>
    </xf>
    <xf numFmtId="0" fontId="4" fillId="4" borderId="3" xfId="0" applyFont="1" applyFill="1" applyBorder="1" applyAlignment="1">
      <alignment horizontal="center" vertical="center"/>
    </xf>
    <xf numFmtId="0" fontId="0" fillId="4" borderId="5" xfId="0" applyFill="1" applyBorder="1"/>
    <xf numFmtId="38" fontId="0" fillId="0" borderId="3" xfId="0" applyNumberFormat="1" applyBorder="1"/>
    <xf numFmtId="0" fontId="23" fillId="4" borderId="5" xfId="0" applyFont="1" applyFill="1" applyBorder="1"/>
    <xf numFmtId="0" fontId="23" fillId="4" borderId="3" xfId="0" applyFont="1" applyFill="1" applyBorder="1"/>
    <xf numFmtId="38" fontId="8" fillId="0" borderId="0" xfId="4" quotePrefix="1" applyFont="1" applyFill="1" applyBorder="1" applyAlignment="1">
      <alignment horizontal="center" vertical="center"/>
    </xf>
    <xf numFmtId="38" fontId="8" fillId="0" borderId="3" xfId="4" quotePrefix="1" applyFont="1" applyFill="1" applyBorder="1" applyAlignment="1">
      <alignment horizontal="center" vertical="center"/>
    </xf>
    <xf numFmtId="177" fontId="0" fillId="0" borderId="4" xfId="1" applyNumberFormat="1" applyFont="1" applyFill="1" applyBorder="1"/>
    <xf numFmtId="0" fontId="19" fillId="0" borderId="0" xfId="0" applyFont="1" applyAlignment="1">
      <alignment horizontal="center"/>
    </xf>
    <xf numFmtId="0" fontId="8" fillId="0" borderId="5" xfId="0" applyFont="1" applyBorder="1"/>
    <xf numFmtId="0" fontId="0" fillId="0" borderId="0" xfId="1" applyNumberFormat="1" applyFont="1" applyFill="1" applyBorder="1"/>
    <xf numFmtId="0" fontId="24" fillId="4" borderId="0" xfId="0" applyFont="1" applyFill="1"/>
    <xf numFmtId="0" fontId="25" fillId="4" borderId="0" xfId="0" quotePrefix="1" applyFont="1" applyFill="1" applyAlignment="1">
      <alignment horizontal="center"/>
    </xf>
    <xf numFmtId="0" fontId="25" fillId="4" borderId="0" xfId="0" applyFont="1" applyFill="1" applyAlignment="1">
      <alignment horizontal="center"/>
    </xf>
    <xf numFmtId="2" fontId="26" fillId="0" borderId="0" xfId="1" applyNumberFormat="1" applyFont="1" applyFill="1" applyBorder="1"/>
    <xf numFmtId="0" fontId="27" fillId="4" borderId="0" xfId="0" applyFont="1" applyFill="1"/>
    <xf numFmtId="184" fontId="0" fillId="0" borderId="0" xfId="0" applyNumberFormat="1"/>
    <xf numFmtId="2" fontId="0" fillId="0" borderId="0" xfId="0" applyNumberFormat="1"/>
    <xf numFmtId="0" fontId="18" fillId="0" borderId="0" xfId="0" applyFont="1"/>
    <xf numFmtId="0" fontId="28" fillId="0" borderId="0" xfId="0" applyFont="1"/>
    <xf numFmtId="0" fontId="29" fillId="0" borderId="0" xfId="0" applyFont="1"/>
    <xf numFmtId="9" fontId="0" fillId="0" borderId="9" xfId="0" applyNumberFormat="1" applyBorder="1"/>
    <xf numFmtId="2" fontId="0" fillId="0" borderId="4" xfId="0" applyNumberFormat="1" applyBorder="1"/>
    <xf numFmtId="38" fontId="0" fillId="0" borderId="14" xfId="8" applyNumberFormat="1" applyFont="1" applyBorder="1" applyAlignment="1"/>
    <xf numFmtId="38" fontId="0" fillId="0" borderId="20" xfId="8" applyNumberFormat="1" applyFont="1" applyBorder="1" applyAlignment="1"/>
    <xf numFmtId="2" fontId="0" fillId="0" borderId="5" xfId="0" applyNumberFormat="1" applyBorder="1"/>
    <xf numFmtId="38" fontId="0" fillId="0" borderId="4" xfId="8" applyNumberFormat="1" applyFont="1" applyBorder="1" applyAlignment="1"/>
    <xf numFmtId="38" fontId="0" fillId="0" borderId="0" xfId="8" applyNumberFormat="1" applyFont="1" applyBorder="1" applyAlignment="1"/>
    <xf numFmtId="38" fontId="0" fillId="0" borderId="5" xfId="8" applyNumberFormat="1" applyFont="1" applyBorder="1" applyAlignment="1"/>
    <xf numFmtId="177" fontId="0" fillId="0" borderId="0" xfId="0" applyNumberFormat="1"/>
    <xf numFmtId="38" fontId="0" fillId="7" borderId="0" xfId="0" applyNumberFormat="1" applyFill="1"/>
    <xf numFmtId="38" fontId="0" fillId="8" borderId="0" xfId="0" applyNumberFormat="1" applyFill="1"/>
    <xf numFmtId="38" fontId="0" fillId="9" borderId="0" xfId="0" applyNumberFormat="1" applyFill="1"/>
    <xf numFmtId="38" fontId="0" fillId="7" borderId="0" xfId="4" applyFont="1" applyFill="1" applyBorder="1" applyAlignment="1"/>
    <xf numFmtId="38" fontId="0" fillId="8" borderId="0" xfId="4" applyFont="1" applyFill="1" applyBorder="1" applyAlignment="1"/>
    <xf numFmtId="38" fontId="0" fillId="3" borderId="0" xfId="4" applyFont="1" applyFill="1" applyBorder="1" applyAlignment="1"/>
    <xf numFmtId="38" fontId="0" fillId="10" borderId="0" xfId="4" applyFont="1" applyFill="1" applyBorder="1" applyAlignment="1"/>
    <xf numFmtId="0" fontId="30" fillId="0" borderId="0" xfId="0" applyFont="1"/>
    <xf numFmtId="0" fontId="19" fillId="4" borderId="0" xfId="0" quotePrefix="1" applyFont="1" applyFill="1" applyAlignment="1">
      <alignment horizontal="right" vertical="center" shrinkToFit="1"/>
    </xf>
    <xf numFmtId="0" fontId="0" fillId="4" borderId="4" xfId="0" applyFill="1" applyBorder="1" applyAlignment="1">
      <alignment vertical="center"/>
    </xf>
    <xf numFmtId="38" fontId="0" fillId="0" borderId="4" xfId="8" applyNumberFormat="1" applyFont="1" applyFill="1" applyBorder="1" applyAlignment="1"/>
    <xf numFmtId="40" fontId="0" fillId="0" borderId="0" xfId="8" applyFont="1" applyBorder="1" applyAlignment="1"/>
    <xf numFmtId="40" fontId="0" fillId="0" borderId="5" xfId="8" applyFont="1" applyBorder="1" applyAlignment="1"/>
    <xf numFmtId="0" fontId="6" fillId="4" borderId="0" xfId="0" applyFont="1" applyFill="1" applyAlignment="1">
      <alignment horizontal="left" vertical="center"/>
    </xf>
    <xf numFmtId="0" fontId="4" fillId="4" borderId="3" xfId="0" applyFont="1" applyFill="1" applyBorder="1"/>
    <xf numFmtId="38" fontId="8" fillId="0" borderId="0" xfId="8" applyNumberFormat="1" applyFont="1" applyBorder="1" applyAlignment="1"/>
    <xf numFmtId="38" fontId="8" fillId="0" borderId="5" xfId="8" applyNumberFormat="1" applyFont="1" applyBorder="1" applyAlignment="1"/>
    <xf numFmtId="0" fontId="0" fillId="4" borderId="0" xfId="0" applyFill="1" applyAlignment="1">
      <alignment vertical="center"/>
    </xf>
    <xf numFmtId="0" fontId="8" fillId="4" borderId="5" xfId="0" applyFont="1" applyFill="1" applyBorder="1"/>
    <xf numFmtId="38" fontId="0" fillId="0" borderId="0" xfId="4" quotePrefix="1" applyFont="1" applyBorder="1" applyAlignment="1"/>
    <xf numFmtId="38" fontId="0" fillId="0" borderId="9" xfId="8" applyNumberFormat="1" applyFont="1" applyBorder="1" applyAlignment="1"/>
    <xf numFmtId="0" fontId="8" fillId="0" borderId="4" xfId="0" applyFont="1" applyBorder="1" applyAlignment="1">
      <alignment horizontal="left"/>
    </xf>
    <xf numFmtId="177" fontId="8" fillId="0" borderId="4" xfId="0" applyNumberFormat="1" applyFont="1" applyBorder="1"/>
    <xf numFmtId="10" fontId="0" fillId="0" borderId="9" xfId="0" applyNumberFormat="1" applyBorder="1"/>
    <xf numFmtId="0" fontId="19" fillId="0" borderId="4" xfId="0" applyFont="1" applyBorder="1" applyAlignment="1">
      <alignment horizontal="center"/>
    </xf>
    <xf numFmtId="177" fontId="19" fillId="0" borderId="4" xfId="0" applyNumberFormat="1" applyFont="1" applyBorder="1" applyAlignment="1">
      <alignment horizontal="center"/>
    </xf>
    <xf numFmtId="177" fontId="0" fillId="0" borderId="9" xfId="1" applyNumberFormat="1" applyFont="1" applyBorder="1"/>
    <xf numFmtId="0" fontId="19" fillId="0" borderId="4" xfId="0" applyFont="1" applyBorder="1" applyAlignment="1">
      <alignment horizontal="center" vertical="center"/>
    </xf>
    <xf numFmtId="177" fontId="0" fillId="0" borderId="9" xfId="1" applyNumberFormat="1" applyFont="1" applyBorder="1" applyAlignment="1"/>
    <xf numFmtId="0" fontId="8" fillId="0" borderId="4" xfId="0" applyFont="1" applyBorder="1" applyAlignment="1">
      <alignment horizontal="left" vertical="center"/>
    </xf>
    <xf numFmtId="40" fontId="8" fillId="0" borderId="17" xfId="8" applyFont="1" applyBorder="1" applyAlignment="1">
      <alignment vertical="top"/>
    </xf>
    <xf numFmtId="40" fontId="6" fillId="0" borderId="10" xfId="8" applyFont="1" applyBorder="1" applyAlignment="1"/>
    <xf numFmtId="40" fontId="6" fillId="0" borderId="17" xfId="8" applyFont="1" applyBorder="1" applyAlignment="1"/>
    <xf numFmtId="40" fontId="6" fillId="0" borderId="0" xfId="8" applyFont="1" applyAlignment="1"/>
    <xf numFmtId="40" fontId="6" fillId="0" borderId="10" xfId="8" applyFont="1" applyBorder="1" applyAlignment="1">
      <alignment vertical="top"/>
    </xf>
    <xf numFmtId="38" fontId="6" fillId="0" borderId="6" xfId="8" applyNumberFormat="1" applyFont="1" applyFill="1" applyBorder="1" applyAlignment="1"/>
    <xf numFmtId="38" fontId="6" fillId="0" borderId="1" xfId="8" applyNumberFormat="1" applyFont="1" applyFill="1" applyBorder="1" applyAlignment="1"/>
    <xf numFmtId="38" fontId="6" fillId="0" borderId="0" xfId="8" applyNumberFormat="1" applyFont="1" applyAlignment="1"/>
    <xf numFmtId="40" fontId="10" fillId="0" borderId="17" xfId="8" applyFont="1" applyBorder="1" applyAlignment="1">
      <alignment vertical="top"/>
    </xf>
    <xf numFmtId="38" fontId="0" fillId="11" borderId="0" xfId="0" applyNumberFormat="1" applyFill="1"/>
    <xf numFmtId="0" fontId="6" fillId="4" borderId="0" xfId="0" applyFont="1" applyFill="1" applyAlignment="1">
      <alignment horizontal="center"/>
    </xf>
    <xf numFmtId="0" fontId="0" fillId="0" borderId="3" xfId="0" applyBorder="1"/>
    <xf numFmtId="38" fontId="6" fillId="0" borderId="0" xfId="0" applyNumberFormat="1" applyFont="1"/>
    <xf numFmtId="0" fontId="0" fillId="0" borderId="0" xfId="0" applyAlignment="1">
      <alignment horizontal="center" vertical="center" wrapText="1"/>
    </xf>
    <xf numFmtId="0" fontId="4"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4" fillId="0" borderId="3" xfId="0" applyFont="1" applyBorder="1" applyAlignment="1">
      <alignment horizontal="center" vertical="center" wrapText="1"/>
    </xf>
    <xf numFmtId="38" fontId="6" fillId="9" borderId="0" xfId="0" applyNumberFormat="1" applyFont="1" applyFill="1"/>
    <xf numFmtId="38" fontId="4" fillId="0" borderId="3" xfId="0" applyNumberFormat="1" applyFont="1" applyBorder="1"/>
    <xf numFmtId="0" fontId="6" fillId="0" borderId="3" xfId="0" applyFont="1" applyBorder="1" applyAlignment="1">
      <alignment horizontal="center" vertical="center" wrapText="1"/>
    </xf>
    <xf numFmtId="38" fontId="6" fillId="0" borderId="3" xfId="0" applyNumberFormat="1" applyFont="1" applyBorder="1" applyAlignment="1">
      <alignment horizontal="center" vertical="center"/>
    </xf>
    <xf numFmtId="186" fontId="6" fillId="0" borderId="0" xfId="0" applyNumberFormat="1" applyFont="1" applyAlignment="1">
      <alignment horizontal="center" vertical="center"/>
    </xf>
    <xf numFmtId="0" fontId="4" fillId="0" borderId="0" xfId="0" applyFont="1" applyAlignment="1">
      <alignment horizontal="right"/>
    </xf>
    <xf numFmtId="38" fontId="4" fillId="5" borderId="0" xfId="0" applyNumberFormat="1" applyFont="1" applyFill="1" applyAlignment="1">
      <alignment horizontal="right"/>
    </xf>
    <xf numFmtId="2" fontId="4" fillId="5" borderId="0" xfId="0" applyNumberFormat="1" applyFont="1" applyFill="1" applyAlignment="1">
      <alignment horizontal="right"/>
    </xf>
    <xf numFmtId="0" fontId="4" fillId="5" borderId="0" xfId="0" applyFont="1" applyFill="1" applyAlignment="1">
      <alignment horizontal="center"/>
    </xf>
    <xf numFmtId="0" fontId="0" fillId="0" borderId="3" xfId="0" applyBorder="1" applyAlignment="1">
      <alignment horizontal="center" vertical="center" wrapText="1"/>
    </xf>
    <xf numFmtId="38" fontId="0" fillId="9" borderId="0" xfId="4" applyFont="1" applyFill="1" applyBorder="1" applyAlignment="1"/>
    <xf numFmtId="186" fontId="0" fillId="0" borderId="0" xfId="0" applyNumberFormat="1" applyAlignment="1">
      <alignment horizontal="center" vertical="center"/>
    </xf>
    <xf numFmtId="38" fontId="0" fillId="0" borderId="3" xfId="0" applyNumberFormat="1" applyBorder="1" applyAlignment="1">
      <alignment horizontal="center" vertical="center"/>
    </xf>
    <xf numFmtId="38" fontId="6" fillId="0" borderId="3" xfId="4" applyFont="1" applyBorder="1" applyAlignment="1"/>
    <xf numFmtId="38" fontId="4" fillId="0" borderId="0" xfId="8" applyNumberFormat="1" applyFont="1" applyFill="1" applyAlignment="1">
      <alignment horizontal="right"/>
    </xf>
    <xf numFmtId="38" fontId="4" fillId="5" borderId="0" xfId="8" applyNumberFormat="1" applyFont="1" applyFill="1" applyAlignment="1">
      <alignment horizontal="right"/>
    </xf>
    <xf numFmtId="40" fontId="4" fillId="5" borderId="0" xfId="8" applyFont="1" applyFill="1" applyAlignment="1">
      <alignment horizontal="right"/>
    </xf>
    <xf numFmtId="177" fontId="4" fillId="5" borderId="0" xfId="1" applyNumberFormat="1" applyFont="1" applyFill="1" applyAlignment="1">
      <alignment horizontal="right"/>
    </xf>
    <xf numFmtId="38" fontId="17" fillId="0" borderId="0" xfId="8" applyNumberFormat="1" applyFont="1" applyFill="1" applyAlignment="1">
      <alignment horizontal="left"/>
    </xf>
    <xf numFmtId="0" fontId="32" fillId="4" borderId="0" xfId="9" applyFont="1" applyFill="1"/>
    <xf numFmtId="38" fontId="0" fillId="0" borderId="5" xfId="4" quotePrefix="1" applyFont="1" applyFill="1" applyBorder="1" applyAlignment="1">
      <alignment horizontal="center"/>
    </xf>
    <xf numFmtId="38" fontId="8" fillId="0" borderId="5" xfId="8" quotePrefix="1" applyNumberFormat="1" applyFont="1" applyBorder="1" applyAlignment="1"/>
    <xf numFmtId="38" fontId="0" fillId="0" borderId="0" xfId="8" quotePrefix="1" applyNumberFormat="1" applyFont="1" applyBorder="1" applyAlignment="1"/>
    <xf numFmtId="38" fontId="0" fillId="0" borderId="3" xfId="8" quotePrefix="1" applyNumberFormat="1" applyFont="1" applyBorder="1" applyAlignment="1"/>
    <xf numFmtId="38" fontId="0" fillId="0" borderId="0" xfId="4" quotePrefix="1" applyFont="1" applyFill="1" applyBorder="1" applyAlignment="1"/>
    <xf numFmtId="0" fontId="24" fillId="0" borderId="25" xfId="1" applyNumberFormat="1" applyFont="1" applyFill="1" applyBorder="1"/>
    <xf numFmtId="9" fontId="0" fillId="0" borderId="1" xfId="1" applyFont="1" applyFill="1" applyBorder="1"/>
    <xf numFmtId="0" fontId="24" fillId="0" borderId="17" xfId="1" applyNumberFormat="1" applyFont="1" applyFill="1" applyBorder="1"/>
    <xf numFmtId="9" fontId="6" fillId="0" borderId="17" xfId="0" applyNumberFormat="1" applyFont="1" applyBorder="1"/>
    <xf numFmtId="0" fontId="36" fillId="0" borderId="0" xfId="0" applyFont="1"/>
    <xf numFmtId="177" fontId="24" fillId="0" borderId="25" xfId="1" applyNumberFormat="1" applyFont="1" applyFill="1" applyBorder="1"/>
    <xf numFmtId="38" fontId="0" fillId="0" borderId="28" xfId="4" applyFont="1" applyBorder="1" applyAlignment="1"/>
    <xf numFmtId="0" fontId="4" fillId="0" borderId="4" xfId="0" applyFont="1" applyBorder="1" applyAlignment="1">
      <alignment horizontal="center" vertical="center"/>
    </xf>
    <xf numFmtId="0" fontId="4" fillId="4" borderId="28" xfId="0" applyFont="1" applyFill="1" applyBorder="1" applyAlignment="1">
      <alignment horizontal="center" vertical="center"/>
    </xf>
    <xf numFmtId="38" fontId="4" fillId="0" borderId="31" xfId="4" applyFont="1" applyFill="1" applyBorder="1" applyAlignment="1"/>
    <xf numFmtId="0" fontId="4" fillId="4" borderId="32" xfId="0" applyFont="1" applyFill="1" applyBorder="1" applyAlignment="1">
      <alignment horizontal="center" vertical="center"/>
    </xf>
    <xf numFmtId="38" fontId="0" fillId="0" borderId="22" xfId="4" applyFont="1" applyFill="1" applyBorder="1" applyAlignment="1"/>
    <xf numFmtId="38" fontId="16" fillId="0" borderId="33" xfId="4" applyFont="1" applyFill="1" applyBorder="1" applyAlignment="1"/>
    <xf numFmtId="38" fontId="0" fillId="8" borderId="24" xfId="4" applyFont="1" applyFill="1" applyBorder="1" applyAlignment="1">
      <alignment horizontal="center" vertical="center"/>
    </xf>
    <xf numFmtId="0" fontId="0" fillId="8" borderId="24" xfId="0" applyFill="1" applyBorder="1" applyAlignment="1">
      <alignment horizontal="center" vertical="center"/>
    </xf>
    <xf numFmtId="38" fontId="0" fillId="8" borderId="30" xfId="4" applyFont="1" applyFill="1" applyBorder="1" applyAlignment="1">
      <alignment horizontal="center" vertical="center"/>
    </xf>
    <xf numFmtId="0" fontId="0" fillId="4" borderId="28" xfId="0" applyFill="1" applyBorder="1"/>
    <xf numFmtId="38" fontId="0" fillId="0" borderId="31" xfId="4" applyFont="1" applyBorder="1" applyAlignment="1"/>
    <xf numFmtId="0" fontId="0" fillId="4" borderId="26" xfId="0" applyFill="1" applyBorder="1"/>
    <xf numFmtId="38" fontId="0" fillId="0" borderId="34" xfId="4" applyFont="1" applyBorder="1" applyAlignment="1"/>
    <xf numFmtId="0" fontId="0" fillId="4" borderId="35" xfId="0" applyFill="1" applyBorder="1"/>
    <xf numFmtId="38" fontId="0" fillId="0" borderId="27" xfId="4" applyFont="1" applyBorder="1" applyAlignment="1"/>
    <xf numFmtId="0" fontId="38" fillId="8" borderId="29" xfId="0" applyFont="1" applyFill="1" applyBorder="1" applyAlignment="1">
      <alignment horizontal="center" vertical="center"/>
    </xf>
    <xf numFmtId="0" fontId="40" fillId="4" borderId="3" xfId="0" applyFont="1" applyFill="1" applyBorder="1" applyAlignment="1">
      <alignment horizontal="center" vertical="center"/>
    </xf>
    <xf numFmtId="38" fontId="8" fillId="8" borderId="24" xfId="4" applyFont="1" applyFill="1" applyBorder="1" applyAlignment="1">
      <alignment horizontal="center" vertical="center"/>
    </xf>
    <xf numFmtId="38" fontId="8" fillId="8" borderId="30" xfId="4" applyFont="1" applyFill="1" applyBorder="1" applyAlignment="1">
      <alignment horizontal="center" vertical="center"/>
    </xf>
    <xf numFmtId="38" fontId="8" fillId="8" borderId="1" xfId="4" applyFont="1" applyFill="1" applyBorder="1" applyAlignment="1">
      <alignment horizontal="center" vertical="center"/>
    </xf>
    <xf numFmtId="38" fontId="8" fillId="8" borderId="36" xfId="4" applyFont="1" applyFill="1" applyBorder="1" applyAlignment="1">
      <alignment horizontal="center" vertical="center"/>
    </xf>
    <xf numFmtId="38" fontId="8" fillId="0" borderId="27" xfId="4" applyFont="1" applyFill="1" applyBorder="1" applyAlignment="1"/>
    <xf numFmtId="38" fontId="8" fillId="0" borderId="31" xfId="4" quotePrefix="1" applyFont="1" applyFill="1" applyBorder="1" applyAlignment="1">
      <alignment horizontal="center" vertical="center"/>
    </xf>
    <xf numFmtId="38" fontId="8" fillId="0" borderId="31" xfId="4" applyFont="1" applyFill="1" applyBorder="1" applyAlignment="1"/>
    <xf numFmtId="38" fontId="8" fillId="0" borderId="0" xfId="4" applyFont="1" applyFill="1" applyBorder="1" applyAlignment="1">
      <alignment vertical="center"/>
    </xf>
    <xf numFmtId="38" fontId="8" fillId="0" borderId="27" xfId="4" applyFont="1" applyFill="1" applyBorder="1" applyAlignment="1">
      <alignment vertical="center"/>
    </xf>
    <xf numFmtId="38" fontId="8" fillId="0" borderId="34" xfId="4" applyFont="1" applyFill="1" applyBorder="1" applyAlignment="1"/>
    <xf numFmtId="0" fontId="23" fillId="4" borderId="35" xfId="0" applyFont="1" applyFill="1" applyBorder="1"/>
    <xf numFmtId="38" fontId="8" fillId="0" borderId="5" xfId="4" quotePrefix="1" applyFont="1" applyFill="1" applyBorder="1" applyAlignment="1">
      <alignment horizontal="center" vertical="center"/>
    </xf>
    <xf numFmtId="38" fontId="8" fillId="0" borderId="37" xfId="4" quotePrefix="1" applyFont="1" applyFill="1" applyBorder="1" applyAlignment="1">
      <alignment horizontal="center" vertical="center"/>
    </xf>
    <xf numFmtId="0" fontId="40" fillId="4" borderId="28" xfId="0" applyFont="1" applyFill="1" applyBorder="1" applyAlignment="1">
      <alignment horizontal="center" vertical="center"/>
    </xf>
    <xf numFmtId="38" fontId="8" fillId="0" borderId="2" xfId="4" applyFont="1" applyFill="1" applyBorder="1" applyAlignment="1"/>
    <xf numFmtId="38" fontId="16" fillId="0" borderId="38" xfId="4" applyFont="1" applyFill="1" applyBorder="1" applyAlignment="1"/>
    <xf numFmtId="38" fontId="8" fillId="0" borderId="3" xfId="4" quotePrefix="1" applyFont="1" applyFill="1" applyBorder="1" applyAlignment="1">
      <alignment vertical="center"/>
    </xf>
    <xf numFmtId="38" fontId="8" fillId="0" borderId="3" xfId="4" applyFont="1" applyFill="1" applyBorder="1" applyAlignment="1">
      <alignment vertical="center"/>
    </xf>
    <xf numFmtId="38" fontId="10" fillId="0" borderId="3" xfId="4" applyFont="1" applyFill="1" applyBorder="1" applyAlignment="1">
      <alignment vertical="center"/>
    </xf>
    <xf numFmtId="1" fontId="0" fillId="0" borderId="0" xfId="0" applyNumberFormat="1"/>
    <xf numFmtId="38" fontId="0" fillId="0" borderId="0" xfId="4" quotePrefix="1" applyFont="1" applyBorder="1" applyAlignment="1">
      <alignment horizontal="center" vertical="center"/>
    </xf>
    <xf numFmtId="38" fontId="0" fillId="0" borderId="0" xfId="0" applyNumberFormat="1" applyAlignment="1">
      <alignment horizontal="center" vertical="center"/>
    </xf>
    <xf numFmtId="38" fontId="0" fillId="0" borderId="0" xfId="4" applyFont="1" applyBorder="1" applyAlignment="1">
      <alignment horizontal="center" vertical="center"/>
    </xf>
    <xf numFmtId="38" fontId="0" fillId="0" borderId="0" xfId="4" applyFont="1" applyFill="1" applyBorder="1" applyAlignment="1">
      <alignment horizontal="center" vertical="center"/>
    </xf>
    <xf numFmtId="38" fontId="4" fillId="0" borderId="3" xfId="4" applyFont="1" applyFill="1" applyBorder="1" applyAlignment="1"/>
    <xf numFmtId="38" fontId="10" fillId="0" borderId="38" xfId="4" applyFont="1" applyFill="1" applyBorder="1" applyAlignment="1"/>
    <xf numFmtId="38" fontId="0" fillId="12" borderId="0" xfId="4" quotePrefix="1" applyFont="1" applyFill="1" applyBorder="1" applyAlignment="1"/>
    <xf numFmtId="38" fontId="0" fillId="12" borderId="0" xfId="4" applyFont="1" applyFill="1" applyBorder="1" applyAlignment="1"/>
    <xf numFmtId="177" fontId="4" fillId="2" borderId="7" xfId="1" applyNumberFormat="1" applyFont="1" applyFill="1" applyBorder="1" applyProtection="1">
      <protection locked="0"/>
    </xf>
    <xf numFmtId="0" fontId="4" fillId="2" borderId="7" xfId="1" applyNumberFormat="1" applyFont="1" applyFill="1" applyBorder="1" applyProtection="1">
      <protection locked="0"/>
    </xf>
    <xf numFmtId="9" fontId="4" fillId="2" borderId="7" xfId="1" applyFont="1" applyFill="1" applyBorder="1" applyAlignment="1" applyProtection="1">
      <protection locked="0"/>
    </xf>
    <xf numFmtId="38" fontId="4" fillId="2" borderId="7" xfId="8" applyNumberFormat="1" applyFont="1" applyFill="1" applyBorder="1" applyAlignment="1" applyProtection="1">
      <protection locked="0"/>
    </xf>
    <xf numFmtId="10" fontId="4" fillId="2" borderId="7" xfId="1" applyNumberFormat="1" applyFont="1" applyFill="1" applyBorder="1" applyAlignment="1" applyProtection="1">
      <protection locked="0"/>
    </xf>
    <xf numFmtId="185" fontId="4" fillId="2" borderId="7" xfId="8" applyNumberFormat="1" applyFont="1" applyFill="1" applyBorder="1" applyAlignment="1" applyProtection="1">
      <protection locked="0"/>
    </xf>
    <xf numFmtId="177" fontId="4" fillId="2" borderId="7" xfId="1" applyNumberFormat="1" applyFont="1" applyFill="1" applyBorder="1" applyAlignment="1" applyProtection="1">
      <protection locked="0"/>
    </xf>
    <xf numFmtId="182" fontId="4" fillId="2" borderId="7" xfId="1" applyNumberFormat="1" applyFont="1" applyFill="1" applyBorder="1" applyAlignment="1" applyProtection="1">
      <protection locked="0"/>
    </xf>
    <xf numFmtId="40" fontId="4" fillId="2" borderId="7" xfId="8" applyFont="1" applyFill="1" applyBorder="1" applyAlignment="1" applyProtection="1">
      <protection locked="0"/>
    </xf>
    <xf numFmtId="9" fontId="0" fillId="2" borderId="13" xfId="0" applyNumberFormat="1" applyFill="1" applyBorder="1" applyProtection="1">
      <protection locked="0"/>
    </xf>
    <xf numFmtId="9" fontId="0" fillId="2" borderId="16" xfId="0" applyNumberFormat="1" applyFill="1" applyBorder="1" applyProtection="1">
      <protection locked="0"/>
    </xf>
    <xf numFmtId="38" fontId="0" fillId="2" borderId="13" xfId="8" applyNumberFormat="1" applyFont="1" applyFill="1" applyBorder="1" applyAlignment="1" applyProtection="1">
      <protection locked="0"/>
    </xf>
    <xf numFmtId="38" fontId="0" fillId="2" borderId="16" xfId="8" applyNumberFormat="1" applyFont="1" applyFill="1" applyBorder="1" applyAlignment="1" applyProtection="1">
      <protection locked="0"/>
    </xf>
    <xf numFmtId="177" fontId="0" fillId="2" borderId="13" xfId="4" applyNumberFormat="1" applyFont="1" applyFill="1" applyBorder="1" applyAlignment="1" applyProtection="1">
      <protection locked="0"/>
    </xf>
    <xf numFmtId="177" fontId="0" fillId="2" borderId="16" xfId="4" applyNumberFormat="1" applyFont="1" applyFill="1" applyBorder="1" applyAlignment="1" applyProtection="1">
      <protection locked="0"/>
    </xf>
    <xf numFmtId="10" fontId="0" fillId="2" borderId="13" xfId="1" applyNumberFormat="1" applyFont="1" applyFill="1" applyBorder="1" applyProtection="1">
      <protection locked="0"/>
    </xf>
    <xf numFmtId="10" fontId="0" fillId="2" borderId="16" xfId="1" applyNumberFormat="1" applyFont="1" applyFill="1" applyBorder="1" applyProtection="1">
      <protection locked="0"/>
    </xf>
    <xf numFmtId="38" fontId="0" fillId="2" borderId="13" xfId="0" applyNumberFormat="1" applyFill="1" applyBorder="1" applyProtection="1">
      <protection locked="0"/>
    </xf>
    <xf numFmtId="38" fontId="0" fillId="2" borderId="16" xfId="0" applyNumberFormat="1" applyFill="1" applyBorder="1" applyProtection="1">
      <protection locked="0"/>
    </xf>
    <xf numFmtId="177" fontId="0" fillId="2" borderId="13" xfId="0" applyNumberFormat="1" applyFill="1" applyBorder="1" applyProtection="1">
      <protection locked="0"/>
    </xf>
    <xf numFmtId="177" fontId="0" fillId="2" borderId="13" xfId="1" applyNumberFormat="1" applyFont="1" applyFill="1" applyBorder="1" applyProtection="1">
      <protection locked="0"/>
    </xf>
    <xf numFmtId="177" fontId="0" fillId="2" borderId="16" xfId="1" applyNumberFormat="1" applyFont="1" applyFill="1" applyBorder="1" applyProtection="1">
      <protection locked="0"/>
    </xf>
    <xf numFmtId="9" fontId="0" fillId="2" borderId="13" xfId="1" applyFont="1" applyFill="1" applyBorder="1" applyProtection="1">
      <protection locked="0"/>
    </xf>
    <xf numFmtId="9" fontId="0" fillId="2" borderId="16" xfId="1" applyFont="1" applyFill="1" applyBorder="1" applyProtection="1">
      <protection locked="0"/>
    </xf>
    <xf numFmtId="40" fontId="8" fillId="2" borderId="17" xfId="8" applyFont="1" applyFill="1" applyBorder="1" applyAlignment="1" applyProtection="1">
      <alignment vertical="top"/>
      <protection locked="0"/>
    </xf>
    <xf numFmtId="40" fontId="8" fillId="2" borderId="17" xfId="8" applyFont="1" applyFill="1" applyBorder="1" applyAlignment="1" applyProtection="1">
      <protection locked="0"/>
    </xf>
    <xf numFmtId="40" fontId="6" fillId="2" borderId="17" xfId="8" applyFont="1" applyFill="1" applyBorder="1" applyAlignment="1" applyProtection="1">
      <alignment vertical="top"/>
      <protection locked="0"/>
    </xf>
    <xf numFmtId="40" fontId="6" fillId="2" borderId="17" xfId="8" applyFont="1" applyFill="1" applyBorder="1" applyAlignment="1" applyProtection="1">
      <protection locked="0"/>
    </xf>
    <xf numFmtId="38" fontId="0" fillId="2" borderId="7" xfId="4" applyFont="1" applyFill="1" applyBorder="1" applyAlignment="1" applyProtection="1">
      <protection locked="0"/>
    </xf>
    <xf numFmtId="38" fontId="0" fillId="2" borderId="7" xfId="0" applyNumberFormat="1" applyFill="1" applyBorder="1" applyProtection="1">
      <protection locked="0"/>
    </xf>
    <xf numFmtId="0" fontId="0" fillId="2" borderId="7" xfId="0" applyFill="1" applyBorder="1" applyProtection="1">
      <protection locked="0"/>
    </xf>
    <xf numFmtId="38" fontId="0" fillId="2" borderId="6" xfId="4" applyFont="1" applyFill="1" applyBorder="1" applyAlignment="1" applyProtection="1">
      <protection locked="0"/>
    </xf>
    <xf numFmtId="38" fontId="0" fillId="2" borderId="21" xfId="4" applyFont="1" applyFill="1" applyBorder="1" applyAlignment="1" applyProtection="1">
      <protection locked="0"/>
    </xf>
    <xf numFmtId="9" fontId="0" fillId="2" borderId="7" xfId="1" applyFont="1" applyFill="1" applyBorder="1" applyProtection="1">
      <protection locked="0"/>
    </xf>
    <xf numFmtId="9" fontId="0" fillId="2" borderId="23" xfId="1" applyFont="1" applyFill="1" applyBorder="1" applyProtection="1">
      <protection locked="0"/>
    </xf>
    <xf numFmtId="1" fontId="0" fillId="2" borderId="7" xfId="1" applyNumberFormat="1" applyFont="1" applyFill="1" applyBorder="1" applyProtection="1">
      <protection locked="0"/>
    </xf>
    <xf numFmtId="38" fontId="0" fillId="2" borderId="8" xfId="4" applyFont="1" applyFill="1" applyBorder="1" applyAlignment="1" applyProtection="1">
      <protection locked="0"/>
    </xf>
    <xf numFmtId="0" fontId="0" fillId="8" borderId="0" xfId="0" applyFill="1" applyAlignment="1">
      <alignment horizontal="left" vertical="center" wrapText="1"/>
    </xf>
    <xf numFmtId="0" fontId="4" fillId="6" borderId="0" xfId="0" applyFont="1" applyFill="1" applyAlignment="1">
      <alignment horizontal="left"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0" fillId="4" borderId="9" xfId="0" applyFill="1" applyBorder="1" applyAlignment="1">
      <alignment horizontal="center" vertical="center"/>
    </xf>
    <xf numFmtId="0" fontId="0" fillId="4" borderId="16" xfId="0" applyFill="1" applyBorder="1" applyAlignment="1">
      <alignment horizontal="center" vertical="center"/>
    </xf>
    <xf numFmtId="0" fontId="0" fillId="4" borderId="14" xfId="0" applyFill="1" applyBorder="1" applyAlignment="1">
      <alignment horizontal="center"/>
    </xf>
    <xf numFmtId="0" fontId="0" fillId="4" borderId="4" xfId="0" applyFill="1" applyBorder="1" applyAlignment="1">
      <alignment horizontal="center"/>
    </xf>
    <xf numFmtId="0" fontId="0" fillId="4" borderId="12" xfId="0" applyFill="1" applyBorder="1" applyAlignment="1">
      <alignment horizontal="center"/>
    </xf>
    <xf numFmtId="0" fontId="0" fillId="4" borderId="20" xfId="0" applyFill="1" applyBorder="1" applyAlignment="1">
      <alignment horizontal="center"/>
    </xf>
    <xf numFmtId="0" fontId="0" fillId="4" borderId="0" xfId="0" applyFill="1" applyAlignment="1">
      <alignment horizontal="center"/>
    </xf>
    <xf numFmtId="0" fontId="0" fillId="4" borderId="15" xfId="0" applyFill="1" applyBorder="1" applyAlignment="1">
      <alignment horizontal="center"/>
    </xf>
    <xf numFmtId="0" fontId="8" fillId="8" borderId="0" xfId="5" applyFont="1" applyFill="1" applyAlignment="1">
      <alignment vertical="top" wrapText="1"/>
    </xf>
    <xf numFmtId="0" fontId="8" fillId="4" borderId="9" xfId="5" applyFont="1" applyFill="1" applyBorder="1" applyAlignment="1">
      <alignment horizontal="center" vertical="center" wrapText="1"/>
    </xf>
    <xf numFmtId="0" fontId="8" fillId="4" borderId="13" xfId="5" applyFont="1" applyFill="1" applyBorder="1" applyAlignment="1">
      <alignment horizontal="center" vertical="center" wrapText="1"/>
    </xf>
    <xf numFmtId="0" fontId="8" fillId="4" borderId="16" xfId="5" applyFont="1" applyFill="1" applyBorder="1" applyAlignment="1">
      <alignment horizontal="center" vertical="center" wrapText="1"/>
    </xf>
    <xf numFmtId="0" fontId="13" fillId="4" borderId="10" xfId="5" applyFont="1" applyFill="1" applyBorder="1" applyAlignment="1">
      <alignment horizontal="center"/>
    </xf>
    <xf numFmtId="0" fontId="13" fillId="4" borderId="3" xfId="5" applyFont="1" applyFill="1" applyBorder="1" applyAlignment="1">
      <alignment horizontal="center"/>
    </xf>
    <xf numFmtId="0" fontId="13" fillId="4" borderId="11" xfId="5" applyFont="1" applyFill="1" applyBorder="1" applyAlignment="1">
      <alignment horizontal="center"/>
    </xf>
    <xf numFmtId="0" fontId="8" fillId="4" borderId="12" xfId="5" applyFont="1" applyFill="1" applyBorder="1" applyAlignment="1">
      <alignment horizontal="center" vertical="center" wrapText="1"/>
    </xf>
    <xf numFmtId="0" fontId="8" fillId="4" borderId="15" xfId="5" applyFont="1" applyFill="1" applyBorder="1" applyAlignment="1">
      <alignment horizontal="center" vertical="center" wrapText="1"/>
    </xf>
    <xf numFmtId="0" fontId="8" fillId="4" borderId="18" xfId="5" applyFont="1" applyFill="1" applyBorder="1" applyAlignment="1">
      <alignment horizontal="center" vertical="center" wrapText="1"/>
    </xf>
    <xf numFmtId="0" fontId="8" fillId="4" borderId="10" xfId="5" applyFont="1" applyFill="1" applyBorder="1" applyAlignment="1">
      <alignment horizontal="center"/>
    </xf>
    <xf numFmtId="0" fontId="8" fillId="4" borderId="11" xfId="5" applyFont="1" applyFill="1" applyBorder="1" applyAlignment="1">
      <alignment horizontal="center"/>
    </xf>
    <xf numFmtId="0" fontId="8" fillId="4" borderId="14" xfId="5" applyFont="1" applyFill="1" applyBorder="1" applyAlignment="1">
      <alignment horizontal="center"/>
    </xf>
    <xf numFmtId="0" fontId="8" fillId="4" borderId="12" xfId="5" applyFont="1" applyFill="1" applyBorder="1" applyAlignment="1">
      <alignment horizontal="center"/>
    </xf>
    <xf numFmtId="0" fontId="8" fillId="0" borderId="10" xfId="5" applyFont="1" applyBorder="1" applyAlignment="1">
      <alignment horizontal="left" vertical="center" wrapText="1"/>
    </xf>
    <xf numFmtId="0" fontId="8" fillId="0" borderId="3" xfId="5" applyFont="1" applyBorder="1" applyAlignment="1">
      <alignment horizontal="left" vertical="center" wrapText="1"/>
    </xf>
    <xf numFmtId="0" fontId="8" fillId="0" borderId="11" xfId="5" applyFont="1" applyBorder="1" applyAlignment="1">
      <alignment horizontal="left" vertical="center" wrapText="1"/>
    </xf>
    <xf numFmtId="0" fontId="8" fillId="0" borderId="17" xfId="5" applyFont="1" applyBorder="1" applyAlignment="1">
      <alignment horizontal="center"/>
    </xf>
    <xf numFmtId="0" fontId="8" fillId="0" borderId="10" xfId="5" applyFont="1" applyBorder="1" applyAlignment="1">
      <alignment horizontal="center" vertical="center" wrapText="1"/>
    </xf>
    <xf numFmtId="0" fontId="8" fillId="0" borderId="3" xfId="5" applyFont="1" applyBorder="1" applyAlignment="1">
      <alignment horizontal="center" vertical="center" wrapText="1"/>
    </xf>
    <xf numFmtId="0" fontId="8" fillId="0" borderId="11" xfId="5" applyFont="1" applyBorder="1" applyAlignment="1">
      <alignment horizontal="center" vertical="center" wrapText="1"/>
    </xf>
    <xf numFmtId="0" fontId="8" fillId="0" borderId="10" xfId="5" applyFont="1" applyBorder="1" applyAlignment="1">
      <alignment vertical="center" wrapText="1"/>
    </xf>
    <xf numFmtId="0" fontId="8" fillId="0" borderId="11" xfId="5" applyFont="1" applyBorder="1" applyAlignment="1">
      <alignment vertical="center" wrapText="1"/>
    </xf>
    <xf numFmtId="0" fontId="6" fillId="8" borderId="0" xfId="0" applyFont="1" applyFill="1" applyAlignment="1">
      <alignment vertical="top" wrapText="1"/>
    </xf>
    <xf numFmtId="0" fontId="0" fillId="8" borderId="0" xfId="0" applyFill="1" applyAlignment="1">
      <alignment vertical="top" wrapText="1"/>
    </xf>
    <xf numFmtId="0" fontId="0" fillId="0" borderId="1" xfId="0" applyBorder="1" applyAlignment="1">
      <alignment horizontal="right"/>
    </xf>
    <xf numFmtId="0" fontId="0" fillId="4" borderId="3" xfId="0" applyFill="1" applyBorder="1" applyAlignment="1">
      <alignment horizontal="center" vertical="center" wrapText="1"/>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3" xfId="0" applyFill="1" applyBorder="1" applyAlignment="1">
      <alignment horizontal="center"/>
    </xf>
    <xf numFmtId="0" fontId="0" fillId="0" borderId="0" xfId="0" applyAlignment="1">
      <alignment horizontal="center"/>
    </xf>
    <xf numFmtId="0" fontId="6" fillId="4" borderId="5" xfId="0" applyFont="1" applyFill="1" applyBorder="1" applyAlignment="1">
      <alignment horizontal="center"/>
    </xf>
    <xf numFmtId="0" fontId="6" fillId="4" borderId="15" xfId="0" applyFont="1" applyFill="1" applyBorder="1" applyAlignment="1">
      <alignment horizontal="center" vertical="center"/>
    </xf>
    <xf numFmtId="0" fontId="6" fillId="4" borderId="3" xfId="0" applyFont="1" applyFill="1" applyBorder="1" applyAlignment="1">
      <alignment horizontal="center"/>
    </xf>
    <xf numFmtId="0" fontId="6" fillId="4" borderId="12" xfId="0" applyFont="1" applyFill="1" applyBorder="1" applyAlignment="1">
      <alignment horizontal="center" vertical="center"/>
    </xf>
    <xf numFmtId="0" fontId="6" fillId="4" borderId="18" xfId="0" applyFont="1" applyFill="1" applyBorder="1" applyAlignment="1">
      <alignment horizontal="center" vertical="center"/>
    </xf>
  </cellXfs>
  <cellStyles count="10">
    <cellStyle name="DateLong" xfId="2" xr:uid="{00000000-0005-0000-0000-000001000000}"/>
    <cellStyle name="Normal 6" xfId="3" xr:uid="{AF3272C0-51CF-4727-99B7-E10F0863E310}"/>
    <cellStyle name="Normal_PP_Ullon_Dhan" xfId="7" xr:uid="{3120DC85-1E54-470F-9CC3-1149F05BADBE}"/>
    <cellStyle name="パーセント" xfId="1" builtinId="5"/>
    <cellStyle name="ハイパーリンク" xfId="9" builtinId="8"/>
    <cellStyle name="桁区切り" xfId="4" builtinId="6"/>
    <cellStyle name="桁区切り [0.00]" xfId="8" builtinId="3"/>
    <cellStyle name="桁区切り [0.00] 2" xfId="6" xr:uid="{F3D13B0B-88BC-4A81-9962-1AFAA288F322}"/>
    <cellStyle name="標準" xfId="0" builtinId="0"/>
    <cellStyle name="標準 2" xfId="5" xr:uid="{FE6C125E-73AC-4BE2-A34D-248CD6D41A37}"/>
  </cellStyles>
  <dxfs count="0"/>
  <tableStyles count="0" defaultTableStyle="TableStyleMedium2" defaultPivotStyle="PivotStyleLight16"/>
  <colors>
    <mruColors>
      <color rgb="FFEFE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庄　智之_SHO Tomoyuki" id="{38ECEF48-440C-4BAB-B435-75BDF0B5B968}" userId="S::sho.tomoyuki@icnet.co.jp::07fd2af6-54c8-4806-82ff-a9175af3933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9" dT="2022-07-31T06:44:30.70" personId="{38ECEF48-440C-4BAB-B435-75BDF0B5B968}" id="{A1A92486-DB17-407B-BE5E-0D7F8C803349}">
    <text>Including salvage value</text>
  </threadedComment>
  <threadedComment ref="AG20" dT="2022-07-31T06:45:03.14" personId="{38ECEF48-440C-4BAB-B435-75BDF0B5B968}" id="{783FD8C0-C645-4805-AFEA-487549E9B8AD}">
    <text>Including salvage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I34" dT="2022-07-31T06:44:30.70" personId="{38ECEF48-440C-4BAB-B435-75BDF0B5B968}" id="{9F1951EE-88F9-4E10-B9F0-773A88A92920}">
    <text>Including salvage value</text>
  </threadedComment>
  <threadedComment ref="T34" dT="2022-07-31T06:45:03.14" personId="{38ECEF48-440C-4BAB-B435-75BDF0B5B968}" id="{AAEF37F5-5F61-4663-AB96-733238A23F7B}">
    <text>Including salvage value</text>
  </threadedComment>
</ThreadedComments>
</file>

<file path=xl/threadedComments/threadedComment3.xml><?xml version="1.0" encoding="utf-8"?>
<ThreadedComments xmlns="http://schemas.microsoft.com/office/spreadsheetml/2018/threadedcomments" xmlns:x="http://schemas.openxmlformats.org/spreadsheetml/2006/main">
  <threadedComment ref="H22" dT="2022-10-12T07:02:19.45" personId="{38ECEF48-440C-4BAB-B435-75BDF0B5B968}" id="{894450EB-1798-41BC-8AA5-0D4C0AEF0935}">
    <text>20% of the program benefits materialized.</text>
  </threadedComment>
  <threadedComment ref="I22" dT="2022-10-12T07:02:45.08" personId="{38ECEF48-440C-4BAB-B435-75BDF0B5B968}" id="{1A67B4FF-5DBD-4929-A9A8-039138FE2F46}">
    <text>40% of the program benefits materialized.</text>
  </threadedComment>
  <threadedComment ref="J22" dT="2022-10-12T07:02:57.98" personId="{38ECEF48-440C-4BAB-B435-75BDF0B5B968}" id="{EC34C592-0A71-428A-95FE-E16298F44766}">
    <text>80% of the program benefits materialized.</text>
  </threadedComment>
  <threadedComment ref="K22" dT="2022-10-12T07:03:11.86" personId="{38ECEF48-440C-4BAB-B435-75BDF0B5B968}" id="{BCE0D02F-4E75-4732-9754-18DB85D36F50}">
    <text>80% of the program benefits materialized.</text>
  </threadedComment>
</ThreadedComments>
</file>

<file path=xl/threadedComments/threadedComment4.xml><?xml version="1.0" encoding="utf-8"?>
<ThreadedComments xmlns="http://schemas.microsoft.com/office/spreadsheetml/2018/threadedcomments" xmlns:x="http://schemas.openxmlformats.org/spreadsheetml/2006/main">
  <threadedComment ref="AG13" dT="2022-07-31T06:45:26.10" personId="{38ECEF48-440C-4BAB-B435-75BDF0B5B968}" id="{24700379-0585-4A1C-876C-66EDEC12BB9D}">
    <text>Including salvage value</text>
  </threadedComment>
  <threadedComment ref="AG28" dT="2022-07-31T06:45:57.36" personId="{38ECEF48-440C-4BAB-B435-75BDF0B5B968}" id="{E8430EF6-C150-4995-91A2-1D3F0819A8B4}">
    <text>Including salvage value</text>
  </threadedComment>
</ThreadedComments>
</file>

<file path=xl/threadedComments/threadedComment5.xml><?xml version="1.0" encoding="utf-8"?>
<ThreadedComments xmlns="http://schemas.microsoft.com/office/spreadsheetml/2018/threadedcomments" xmlns:x="http://schemas.openxmlformats.org/spreadsheetml/2006/main">
  <threadedComment ref="M34" dT="2022-07-31T06:45:26.10" personId="{38ECEF48-440C-4BAB-B435-75BDF0B5B968}" id="{60D274A6-2672-4FF1-95B1-36529260054C}">
    <text>Including salvage value</text>
  </threadedComment>
  <threadedComment ref="AB34" dT="2022-07-31T06:45:57.36" personId="{38ECEF48-440C-4BAB-B435-75BDF0B5B968}" id="{E2B3EDB2-7958-4141-B15E-32019ED9B21E}">
    <text>Including salvage value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57B6-A7F4-4DFB-8BB8-DF83467DA650}">
  <sheetPr codeName="Sheet1">
    <tabColor theme="7" tint="0.59999389629810485"/>
  </sheetPr>
  <dimension ref="A1:I20"/>
  <sheetViews>
    <sheetView tabSelected="1" zoomScale="80" zoomScaleNormal="80" workbookViewId="0">
      <pane xSplit="1" ySplit="1" topLeftCell="B2" activePane="bottomRight" state="frozen"/>
      <selection pane="topRight" activeCell="B1" sqref="B1"/>
      <selection pane="bottomLeft" activeCell="A2" sqref="A2"/>
      <selection pane="bottomRight" activeCell="B29" sqref="B29"/>
    </sheetView>
  </sheetViews>
  <sheetFormatPr defaultRowHeight="18" x14ac:dyDescent="0.55000000000000004"/>
  <cols>
    <col min="1" max="1" width="2.58203125" customWidth="1"/>
    <col min="2" max="2" width="103.83203125" bestFit="1" customWidth="1"/>
    <col min="3" max="3" width="2.58203125" customWidth="1"/>
  </cols>
  <sheetData>
    <row r="1" spans="1:9" s="3" customFormat="1" ht="20" x14ac:dyDescent="0.6">
      <c r="A1" s="5" t="s">
        <v>252</v>
      </c>
      <c r="E1" s="5"/>
    </row>
    <row r="2" spans="1:9" ht="3.5" customHeight="1" x14ac:dyDescent="0.6">
      <c r="A2" s="6"/>
      <c r="E2" s="6"/>
    </row>
    <row r="3" spans="1:9" ht="18" customHeight="1" x14ac:dyDescent="0.6">
      <c r="A3" s="6"/>
      <c r="B3" s="266" t="s">
        <v>244</v>
      </c>
      <c r="E3" s="6"/>
    </row>
    <row r="4" spans="1:9" ht="18" customHeight="1" x14ac:dyDescent="0.6">
      <c r="A4" s="6"/>
      <c r="B4" s="266" t="s">
        <v>245</v>
      </c>
      <c r="D4" s="362" t="s">
        <v>251</v>
      </c>
      <c r="E4" s="362"/>
      <c r="F4" s="362"/>
      <c r="G4" s="362"/>
      <c r="H4" s="362"/>
      <c r="I4" s="362"/>
    </row>
    <row r="5" spans="1:9" ht="4" customHeight="1" x14ac:dyDescent="0.55000000000000004"/>
    <row r="6" spans="1:9" ht="18" customHeight="1" x14ac:dyDescent="0.55000000000000004">
      <c r="B6" s="165" t="s">
        <v>92</v>
      </c>
      <c r="D6" s="361" t="s">
        <v>254</v>
      </c>
      <c r="E6" s="361"/>
      <c r="F6" s="361"/>
      <c r="G6" s="361"/>
      <c r="H6" s="361"/>
      <c r="I6" s="361"/>
    </row>
    <row r="7" spans="1:9" x14ac:dyDescent="0.55000000000000004">
      <c r="B7" s="266" t="s">
        <v>255</v>
      </c>
      <c r="D7" s="361"/>
      <c r="E7" s="361"/>
      <c r="F7" s="361"/>
      <c r="G7" s="361"/>
      <c r="H7" s="361"/>
      <c r="I7" s="361"/>
    </row>
    <row r="8" spans="1:9" x14ac:dyDescent="0.55000000000000004">
      <c r="B8" s="266" t="s">
        <v>256</v>
      </c>
      <c r="D8" s="361"/>
      <c r="E8" s="361"/>
      <c r="F8" s="361"/>
      <c r="G8" s="361"/>
      <c r="H8" s="361"/>
      <c r="I8" s="361"/>
    </row>
    <row r="9" spans="1:9" x14ac:dyDescent="0.55000000000000004">
      <c r="B9" s="266" t="s">
        <v>246</v>
      </c>
      <c r="D9" s="361"/>
      <c r="E9" s="361"/>
      <c r="F9" s="361"/>
      <c r="G9" s="361"/>
      <c r="H9" s="361"/>
      <c r="I9" s="361"/>
    </row>
    <row r="10" spans="1:9" x14ac:dyDescent="0.55000000000000004">
      <c r="A10" s="78"/>
      <c r="B10" s="266" t="s">
        <v>257</v>
      </c>
      <c r="D10" s="361"/>
      <c r="E10" s="361"/>
      <c r="F10" s="361"/>
      <c r="G10" s="361"/>
      <c r="H10" s="361"/>
      <c r="I10" s="361"/>
    </row>
    <row r="11" spans="1:9" x14ac:dyDescent="0.55000000000000004">
      <c r="B11" s="266" t="s">
        <v>258</v>
      </c>
      <c r="D11" s="361"/>
      <c r="E11" s="361"/>
      <c r="F11" s="361"/>
      <c r="G11" s="361"/>
      <c r="H11" s="361"/>
      <c r="I11" s="361"/>
    </row>
    <row r="12" spans="1:9" ht="4" customHeight="1" x14ac:dyDescent="0.55000000000000004"/>
    <row r="13" spans="1:9" x14ac:dyDescent="0.55000000000000004">
      <c r="B13" s="166" t="s">
        <v>93</v>
      </c>
    </row>
    <row r="14" spans="1:9" x14ac:dyDescent="0.55000000000000004">
      <c r="B14" s="266" t="s">
        <v>247</v>
      </c>
    </row>
    <row r="15" spans="1:9" x14ac:dyDescent="0.55000000000000004">
      <c r="B15" s="266" t="s">
        <v>248</v>
      </c>
    </row>
    <row r="16" spans="1:9" x14ac:dyDescent="0.55000000000000004">
      <c r="B16" s="266" t="s">
        <v>259</v>
      </c>
    </row>
    <row r="17" spans="2:4" x14ac:dyDescent="0.55000000000000004">
      <c r="B17" s="266" t="s">
        <v>260</v>
      </c>
    </row>
    <row r="18" spans="2:4" ht="4" customHeight="1" x14ac:dyDescent="0.55000000000000004"/>
    <row r="19" spans="2:4" x14ac:dyDescent="0.55000000000000004">
      <c r="B19" s="266" t="s">
        <v>249</v>
      </c>
    </row>
    <row r="20" spans="2:4" x14ac:dyDescent="0.55000000000000004">
      <c r="B20" s="266" t="s">
        <v>250</v>
      </c>
      <c r="D20" t="s">
        <v>303</v>
      </c>
    </row>
  </sheetData>
  <sheetProtection algorithmName="SHA-512" hashValue="34dH8VVy0lJSH00EE4hoHvXY4vJo5HVIedlLuxv7BuYnJn6JJ8f7NK4y/P4bfIJ3zu+DO/kNWyAmnHW/8380bw==" saltValue="Jclv+JtdMg9H3dtHpXhm9A==" spinCount="100000" sheet="1" objects="1" scenarios="1" autoFilter="0"/>
  <mergeCells count="2">
    <mergeCell ref="D6:I11"/>
    <mergeCell ref="D4:I4"/>
  </mergeCells>
  <phoneticPr fontId="3"/>
  <hyperlinks>
    <hyperlink ref="B3" location="'0.Contents'!A1" display="0.Contents --&gt; Table of contents" xr:uid="{CD25D93A-06D6-4E3F-A451-4CC43374DDB6}"/>
    <hyperlink ref="B4" location="'1.Params_8.Sensitivity'!A1" display="1.Params --&gt; Setting model parameters &amp; project assumptions/variables" xr:uid="{D0DA2BF1-68BC-4DBB-9975-E5AEE3B704C7}"/>
    <hyperlink ref="B7" location="'2a.FCosts'!A1" display="2a.FCosts --&gt; Identifying and quantifying financial costs (1)" xr:uid="{6A2F13B8-71A9-4D7B-8EAB-E5EC4257BAF0}"/>
    <hyperlink ref="B8" location="'2b.FCosts'!A1" display="2b.FCosts --&gt; Identifying and quantifying financial costs (2)" xr:uid="{6A22CCFE-D820-45B0-B7F8-CC43925D42E6}"/>
    <hyperlink ref="B9" location="'3.FBenefits'!A1" display="3.FBenefits --&gt; Identifying and quantifying financial benefits" xr:uid="{AA357E22-7D7F-4128-B2DE-6C2F524FC2AA}"/>
    <hyperlink ref="B10" location="'4a.FAnalysis'!A1" display="4a.FAnalysis --&gt; Constructing financial cash flow tables and estimating financial indicators (in horizontal format)" xr:uid="{6170F0AE-B8BA-4519-9AD2-C934070E1B4E}"/>
    <hyperlink ref="B11" location="'4b.FAnalysis'!A1" display="4b.FAnalysis --&gt; Constructing financial cash flow tables and estimating financial indicators (in vertical format)" xr:uid="{25F3BA14-FFC8-4FD5-A319-BDE6172F9790}"/>
    <hyperlink ref="B14" location="'5.ECosts'!A1" display="5.ECosts --&gt; Identifying and quantifying economic costs" xr:uid="{800D1741-0510-4ACF-BC67-13E7A14E8AB3}"/>
    <hyperlink ref="B15" location="'6.EBenefits'!A1" display="6.EBenefits --&gt; Identifying and quantifying economic benefits" xr:uid="{1D62164D-03E9-4687-B6A6-716A29C225A8}"/>
    <hyperlink ref="B16" location="'7a.EAnalysis'!A1" display="7a.EAnalysis --&gt; Constructing economic cash flow tables and estimating economic indicators (in horizontal format)" xr:uid="{BBC8EB38-756E-4E95-B731-8924FB644002}"/>
    <hyperlink ref="B17" location="'7b.EAnalysis'!A1" display="7b.EAnalysis --&gt; Constructing economic cash flow tables and estimating economic indicators (in vertical format)" xr:uid="{DFAEC690-E0EC-4BA2-99FB-03A74FEA07EE}"/>
    <hyperlink ref="B19" location="'1.Params_8.Sensitivity'!A47" display="8.Sensitivity --&gt; Testing sensitivity of the results to parameters &amp; assumptions" xr:uid="{9ABD67D1-2201-4117-8CEA-F2AE3A8E5B5A}"/>
    <hyperlink ref="B20" location="'9.Results'!A1" display="9.Results --&gt; Summarizing the results of financial and economic analysis" xr:uid="{7341011D-251E-4C8A-A1F5-E2F8F9ED16F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EE438-56E3-450B-A37F-88625E471DF2}">
  <sheetPr codeName="Sheet10">
    <tabColor theme="5" tint="0.59999389629810485"/>
  </sheetPr>
  <dimension ref="A1:AH32"/>
  <sheetViews>
    <sheetView zoomScale="70" zoomScaleNormal="70" workbookViewId="0">
      <pane xSplit="1" ySplit="1" topLeftCell="F2" activePane="bottomRight" state="frozen"/>
      <selection pane="topRight" activeCell="B1" sqref="B1"/>
      <selection pane="bottomLeft" activeCell="A3" sqref="A3"/>
      <selection pane="bottomRight" activeCell="N14" sqref="N14"/>
    </sheetView>
  </sheetViews>
  <sheetFormatPr defaultRowHeight="18" x14ac:dyDescent="0.55000000000000004"/>
  <cols>
    <col min="1" max="1" width="2.58203125" customWidth="1"/>
    <col min="2" max="2" width="46.58203125" customWidth="1"/>
    <col min="3" max="3" width="12" bestFit="1" customWidth="1"/>
    <col min="4" max="34" width="10.9140625" customWidth="1"/>
  </cols>
  <sheetData>
    <row r="1" spans="1:34" s="3" customFormat="1" ht="20" x14ac:dyDescent="0.6">
      <c r="A1" s="5" t="str">
        <f>"Cash Flows of Economic Costs and Benefits ("&amp;MID('0.Contents'!A1,20,(LEN('0.Contents'!A1)-20))&amp;")----Horizontal format"</f>
        <v>Cash Flows of Economic Costs and Benefits (Rural Infrastructure Development)----Horizontal format</v>
      </c>
    </row>
    <row r="2" spans="1:34" ht="20" x14ac:dyDescent="0.6">
      <c r="A2" s="6"/>
      <c r="B2" s="400" t="s">
        <v>134</v>
      </c>
      <c r="C2" s="402" t="s">
        <v>24</v>
      </c>
      <c r="D2" s="405" t="s">
        <v>0</v>
      </c>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0" t="s">
        <v>30</v>
      </c>
    </row>
    <row r="3" spans="1:34" ht="20" x14ac:dyDescent="0.6">
      <c r="A3" s="6"/>
      <c r="B3" s="401"/>
      <c r="C3" s="404"/>
      <c r="D3" s="11">
        <v>1</v>
      </c>
      <c r="E3" s="11">
        <v>2</v>
      </c>
      <c r="F3" s="11">
        <v>3</v>
      </c>
      <c r="G3" s="11">
        <v>4</v>
      </c>
      <c r="H3" s="11">
        <v>5</v>
      </c>
      <c r="I3" s="84">
        <v>6</v>
      </c>
      <c r="J3" s="84">
        <v>7</v>
      </c>
      <c r="K3" s="84">
        <v>8</v>
      </c>
      <c r="L3" s="84">
        <v>9</v>
      </c>
      <c r="M3" s="84">
        <v>10</v>
      </c>
      <c r="N3" s="84">
        <v>11</v>
      </c>
      <c r="O3" s="84">
        <v>12</v>
      </c>
      <c r="P3" s="84">
        <v>13</v>
      </c>
      <c r="Q3" s="84">
        <v>14</v>
      </c>
      <c r="R3" s="84">
        <v>15</v>
      </c>
      <c r="S3" s="84">
        <v>16</v>
      </c>
      <c r="T3" s="84">
        <v>17</v>
      </c>
      <c r="U3" s="84">
        <v>18</v>
      </c>
      <c r="V3" s="84">
        <v>19</v>
      </c>
      <c r="W3" s="84">
        <v>20</v>
      </c>
      <c r="X3" s="84">
        <v>21</v>
      </c>
      <c r="Y3" s="84">
        <v>22</v>
      </c>
      <c r="Z3" s="84">
        <v>23</v>
      </c>
      <c r="AA3" s="84">
        <v>24</v>
      </c>
      <c r="AB3" s="84">
        <v>25</v>
      </c>
      <c r="AC3" s="84">
        <v>26</v>
      </c>
      <c r="AD3" s="84">
        <v>27</v>
      </c>
      <c r="AE3" s="84">
        <v>28</v>
      </c>
      <c r="AF3" s="84">
        <v>29</v>
      </c>
      <c r="AG3" s="84">
        <v>30</v>
      </c>
      <c r="AH3" s="401"/>
    </row>
    <row r="4" spans="1:34" x14ac:dyDescent="0.55000000000000004">
      <c r="B4" s="18" t="s">
        <v>1</v>
      </c>
      <c r="C4" s="59">
        <f>SUM(D4:AG4)+C7</f>
        <v>14709.79729643163</v>
      </c>
      <c r="D4" s="60">
        <f>SUM(D5:D6,D8)*'1.Params_8.Sensitivity'!$D$49</f>
        <v>165.55581589958157</v>
      </c>
      <c r="E4" s="60">
        <f>SUM(E5:E6,E8)*'1.Params_8.Sensitivity'!$D$49</f>
        <v>413.88953974895395</v>
      </c>
      <c r="F4" s="60">
        <f>SUM(F5:F6,F8)*'1.Params_8.Sensitivity'!$D$49</f>
        <v>1241.6686192468617</v>
      </c>
      <c r="G4" s="60">
        <f>SUM(G5:G6,G8)*'1.Params_8.Sensitivity'!$D$49</f>
        <v>1862.5029288702931</v>
      </c>
      <c r="H4" s="60">
        <f>SUM(H5:H6,H8)*'1.Params_8.Sensitivity'!$D$49</f>
        <v>455.27849372384929</v>
      </c>
      <c r="I4" s="60">
        <f>SUM(I5:I6,I8)*'1.Params_8.Sensitivity'!$D$49</f>
        <v>378.22529256517544</v>
      </c>
      <c r="J4" s="60">
        <f>SUM(J5:J6,J8)*'1.Params_8.Sensitivity'!$D$49</f>
        <v>382.28036948825235</v>
      </c>
      <c r="K4" s="60">
        <f>SUM(K5:K6,K8)*'1.Params_8.Sensitivity'!$D$49</f>
        <v>386.37790794979082</v>
      </c>
      <c r="L4" s="60">
        <f>SUM(L5:L6,L8)*'1.Params_8.Sensitivity'!$D$49</f>
        <v>390.53913871902154</v>
      </c>
      <c r="M4" s="60">
        <f>SUM(M5:M6,M8)*'1.Params_8.Sensitivity'!$D$49</f>
        <v>394.76406179594466</v>
      </c>
      <c r="N4" s="60">
        <f>SUM(N5:N6,N8)*'1.Params_8.Sensitivity'!$D$49</f>
        <v>399.03144641132923</v>
      </c>
      <c r="O4" s="60">
        <f>SUM(O5:O6,O8)*'1.Params_8.Sensitivity'!$D$49</f>
        <v>403.36252333440621</v>
      </c>
      <c r="P4" s="60">
        <f>SUM(P5:P6,P8)*'1.Params_8.Sensitivity'!$D$49</f>
        <v>407.75729256517542</v>
      </c>
      <c r="Q4" s="60">
        <f>SUM(Q5:Q6,Q8)*'1.Params_8.Sensitivity'!$D$49</f>
        <v>412.21575410363693</v>
      </c>
      <c r="R4" s="60">
        <f>SUM(R5:R6,R8)*'1.Params_8.Sensitivity'!$D$49</f>
        <v>416.73790794979078</v>
      </c>
      <c r="S4" s="60">
        <f>SUM(S5:S6,S8)*'1.Params_8.Sensitivity'!$D$49</f>
        <v>421.32375410363693</v>
      </c>
      <c r="T4" s="60">
        <f>SUM(T5:T6,T8)*'1.Params_8.Sensitivity'!$D$49</f>
        <v>425.95206179594464</v>
      </c>
      <c r="U4" s="60">
        <f>SUM(U5:U6,U8)*'1.Params_8.Sensitivity'!$D$49</f>
        <v>430.64406179594471</v>
      </c>
      <c r="V4" s="60">
        <f>SUM(V5:V6,V8)*'1.Params_8.Sensitivity'!$D$49</f>
        <v>435.39975410363695</v>
      </c>
      <c r="W4" s="60">
        <f>SUM(W5:W6,W8)*'1.Params_8.Sensitivity'!$D$49</f>
        <v>440.24036948825233</v>
      </c>
      <c r="X4" s="60">
        <f>SUM(X5:X6,X8)*'1.Params_8.Sensitivity'!$D$49</f>
        <v>445.14467718056011</v>
      </c>
      <c r="Y4" s="60">
        <f>SUM(Y5:Y6,Y8)*'1.Params_8.Sensitivity'!$D$49</f>
        <v>450.11267718056007</v>
      </c>
      <c r="Z4" s="60">
        <f>SUM(Z5:Z6,Z8)*'1.Params_8.Sensitivity'!$D$49</f>
        <v>455.14436948825232</v>
      </c>
      <c r="AA4" s="60">
        <f>SUM(AA5:AA6,AA8)*'1.Params_8.Sensitivity'!$D$49</f>
        <v>460.23975410363693</v>
      </c>
      <c r="AB4" s="60">
        <f>SUM(AB5:AB6,AB8)*'1.Params_8.Sensitivity'!$D$49</f>
        <v>465.42006179594472</v>
      </c>
      <c r="AC4" s="60">
        <f>SUM(AC5:AC6,AC8)*'1.Params_8.Sensitivity'!$D$49</f>
        <v>470.66406179594469</v>
      </c>
      <c r="AD4" s="60">
        <f>SUM(AD5:AD6,AD8)*'1.Params_8.Sensitivity'!$D$49</f>
        <v>475.9717541036369</v>
      </c>
      <c r="AE4" s="60">
        <f>SUM(AE5:AE6,AE8)*'1.Params_8.Sensitivity'!$D$49</f>
        <v>481.36436948825235</v>
      </c>
      <c r="AF4" s="60">
        <f>SUM(AF5:AF6,AF8)*'1.Params_8.Sensitivity'!$D$49</f>
        <v>486.8206771805601</v>
      </c>
      <c r="AG4" s="60">
        <f>SUM(AG5:AG6,AG8)*'1.Params_8.Sensitivity'!$D$49</f>
        <v>492.3619079497908</v>
      </c>
      <c r="AH4" s="61"/>
    </row>
    <row r="5" spans="1:34" x14ac:dyDescent="0.55000000000000004">
      <c r="B5" s="19" t="s">
        <v>225</v>
      </c>
      <c r="C5" s="56">
        <f t="shared" ref="C5:C8" si="0">SUM(D5:AG5)</f>
        <v>4138.8953974895394</v>
      </c>
      <c r="D5" s="203">
        <f>'5.ECosts'!H$32</f>
        <v>165.55581589958157</v>
      </c>
      <c r="E5" s="203">
        <f>'5.ECosts'!I$32</f>
        <v>413.88953974895395</v>
      </c>
      <c r="F5" s="203">
        <f>'5.ECosts'!J$32</f>
        <v>1241.6686192468617</v>
      </c>
      <c r="G5" s="203">
        <f>'5.ECosts'!K$32</f>
        <v>1862.5029288702931</v>
      </c>
      <c r="H5" s="203">
        <f>'5.ECosts'!L$32</f>
        <v>455.27849372384929</v>
      </c>
      <c r="I5" s="316" t="s">
        <v>31</v>
      </c>
      <c r="J5" s="316" t="s">
        <v>31</v>
      </c>
      <c r="K5" s="316" t="s">
        <v>31</v>
      </c>
      <c r="L5" s="316" t="s">
        <v>31</v>
      </c>
      <c r="M5" s="316" t="s">
        <v>31</v>
      </c>
      <c r="N5" s="316" t="s">
        <v>31</v>
      </c>
      <c r="O5" s="316" t="s">
        <v>31</v>
      </c>
      <c r="P5" s="316" t="s">
        <v>31</v>
      </c>
      <c r="Q5" s="316" t="s">
        <v>31</v>
      </c>
      <c r="R5" s="316" t="s">
        <v>31</v>
      </c>
      <c r="S5" s="316" t="s">
        <v>31</v>
      </c>
      <c r="T5" s="316" t="s">
        <v>31</v>
      </c>
      <c r="U5" s="316" t="s">
        <v>31</v>
      </c>
      <c r="V5" s="316" t="s">
        <v>31</v>
      </c>
      <c r="W5" s="316" t="s">
        <v>31</v>
      </c>
      <c r="X5" s="316" t="s">
        <v>31</v>
      </c>
      <c r="Y5" s="316" t="s">
        <v>31</v>
      </c>
      <c r="Z5" s="316" t="s">
        <v>31</v>
      </c>
      <c r="AA5" s="316" t="s">
        <v>31</v>
      </c>
      <c r="AB5" s="316" t="s">
        <v>31</v>
      </c>
      <c r="AC5" s="316" t="s">
        <v>31</v>
      </c>
      <c r="AD5" s="316" t="s">
        <v>31</v>
      </c>
      <c r="AE5" s="316" t="s">
        <v>31</v>
      </c>
      <c r="AF5" s="316" t="s">
        <v>31</v>
      </c>
      <c r="AG5" s="316" t="s">
        <v>31</v>
      </c>
      <c r="AH5" s="56"/>
    </row>
    <row r="6" spans="1:34" x14ac:dyDescent="0.55000000000000004">
      <c r="B6" s="19" t="s">
        <v>226</v>
      </c>
      <c r="C6" s="56">
        <f t="shared" si="0"/>
        <v>2069.4476987447688</v>
      </c>
      <c r="D6" s="54">
        <f>'5.ECosts'!H$53</f>
        <v>0</v>
      </c>
      <c r="E6" s="54">
        <f>'5.ECosts'!I$53</f>
        <v>0</v>
      </c>
      <c r="F6" s="54">
        <f>'5.ECosts'!J$53</f>
        <v>0</v>
      </c>
      <c r="G6" s="54">
        <f>'5.ECosts'!K$53</f>
        <v>0</v>
      </c>
      <c r="H6" s="54">
        <f>'5.ECosts'!L$53</f>
        <v>0</v>
      </c>
      <c r="I6" s="204">
        <f>'5.ECosts'!M$53</f>
        <v>82.777907949790787</v>
      </c>
      <c r="J6" s="204">
        <f>'5.ECosts'!N$53</f>
        <v>82.777907949790787</v>
      </c>
      <c r="K6" s="204">
        <f>'5.ECosts'!O$53</f>
        <v>82.777907949790787</v>
      </c>
      <c r="L6" s="204">
        <f>'5.ECosts'!P$53</f>
        <v>82.777907949790787</v>
      </c>
      <c r="M6" s="204">
        <f>'5.ECosts'!Q$53</f>
        <v>82.777907949790787</v>
      </c>
      <c r="N6" s="204">
        <f>'5.ECosts'!R$53</f>
        <v>82.777907949790787</v>
      </c>
      <c r="O6" s="204">
        <f>'5.ECosts'!S$53</f>
        <v>82.777907949790787</v>
      </c>
      <c r="P6" s="204">
        <f>'5.ECosts'!T$53</f>
        <v>82.777907949790787</v>
      </c>
      <c r="Q6" s="204">
        <f>'5.ECosts'!U$53</f>
        <v>82.777907949790787</v>
      </c>
      <c r="R6" s="204">
        <f>'5.ECosts'!V$53</f>
        <v>82.777907949790787</v>
      </c>
      <c r="S6" s="204">
        <f>'5.ECosts'!W$53</f>
        <v>82.777907949790787</v>
      </c>
      <c r="T6" s="204">
        <f>'5.ECosts'!X$53</f>
        <v>82.777907949790787</v>
      </c>
      <c r="U6" s="204">
        <f>'5.ECosts'!Y$53</f>
        <v>82.777907949790787</v>
      </c>
      <c r="V6" s="204">
        <f>'5.ECosts'!Z$53</f>
        <v>82.777907949790787</v>
      </c>
      <c r="W6" s="204">
        <f>'5.ECosts'!AA$53</f>
        <v>82.777907949790787</v>
      </c>
      <c r="X6" s="204">
        <f>'5.ECosts'!AB$53</f>
        <v>82.777907949790787</v>
      </c>
      <c r="Y6" s="204">
        <f>'5.ECosts'!AC$53</f>
        <v>82.777907949790787</v>
      </c>
      <c r="Z6" s="204">
        <f>'5.ECosts'!AD$53</f>
        <v>82.777907949790787</v>
      </c>
      <c r="AA6" s="204">
        <f>'5.ECosts'!AE$53</f>
        <v>82.777907949790787</v>
      </c>
      <c r="AB6" s="204">
        <f>'5.ECosts'!AF$53</f>
        <v>82.777907949790787</v>
      </c>
      <c r="AC6" s="204">
        <f>'5.ECosts'!AG$53</f>
        <v>82.777907949790787</v>
      </c>
      <c r="AD6" s="204">
        <f>'5.ECosts'!AH$53</f>
        <v>82.777907949790787</v>
      </c>
      <c r="AE6" s="204">
        <f>'5.ECosts'!AI$53</f>
        <v>82.777907949790787</v>
      </c>
      <c r="AF6" s="204">
        <f>'5.ECosts'!AJ$53</f>
        <v>82.777907949790787</v>
      </c>
      <c r="AG6" s="204">
        <f>'5.ECosts'!AK$53</f>
        <v>82.777907949790787</v>
      </c>
      <c r="AH6" s="56"/>
    </row>
    <row r="7" spans="1:34" x14ac:dyDescent="0.55000000000000004">
      <c r="B7" s="19" t="s">
        <v>227</v>
      </c>
      <c r="C7" s="56">
        <f>AH7</f>
        <v>-237.194107494988</v>
      </c>
      <c r="D7" s="316" t="s">
        <v>31</v>
      </c>
      <c r="E7" s="316" t="s">
        <v>31</v>
      </c>
      <c r="F7" s="316" t="s">
        <v>31</v>
      </c>
      <c r="G7" s="316" t="s">
        <v>31</v>
      </c>
      <c r="H7" s="316" t="s">
        <v>31</v>
      </c>
      <c r="I7" s="316" t="s">
        <v>31</v>
      </c>
      <c r="J7" s="316" t="s">
        <v>31</v>
      </c>
      <c r="K7" s="316" t="s">
        <v>31</v>
      </c>
      <c r="L7" s="316" t="s">
        <v>31</v>
      </c>
      <c r="M7" s="316" t="s">
        <v>31</v>
      </c>
      <c r="N7" s="316" t="s">
        <v>31</v>
      </c>
      <c r="O7" s="316" t="s">
        <v>31</v>
      </c>
      <c r="P7" s="316" t="s">
        <v>31</v>
      </c>
      <c r="Q7" s="316" t="s">
        <v>31</v>
      </c>
      <c r="R7" s="316" t="s">
        <v>31</v>
      </c>
      <c r="S7" s="316" t="s">
        <v>31</v>
      </c>
      <c r="T7" s="316" t="s">
        <v>31</v>
      </c>
      <c r="U7" s="316" t="s">
        <v>31</v>
      </c>
      <c r="V7" s="316" t="s">
        <v>31</v>
      </c>
      <c r="W7" s="316" t="s">
        <v>31</v>
      </c>
      <c r="X7" s="316" t="s">
        <v>31</v>
      </c>
      <c r="Y7" s="316" t="s">
        <v>31</v>
      </c>
      <c r="Z7" s="316" t="s">
        <v>31</v>
      </c>
      <c r="AA7" s="316" t="s">
        <v>31</v>
      </c>
      <c r="AB7" s="316" t="s">
        <v>31</v>
      </c>
      <c r="AC7" s="316" t="s">
        <v>31</v>
      </c>
      <c r="AD7" s="316" t="s">
        <v>31</v>
      </c>
      <c r="AE7" s="316" t="s">
        <v>31</v>
      </c>
      <c r="AF7" s="316" t="s">
        <v>31</v>
      </c>
      <c r="AG7" s="316" t="s">
        <v>31</v>
      </c>
      <c r="AH7" s="56">
        <f>-1*'5.ECosts'!H37</f>
        <v>-237.194107494988</v>
      </c>
    </row>
    <row r="8" spans="1:34" x14ac:dyDescent="0.55000000000000004">
      <c r="B8" s="19" t="s">
        <v>228</v>
      </c>
      <c r="C8" s="56">
        <f t="shared" si="0"/>
        <v>8738.6483076923087</v>
      </c>
      <c r="D8" s="271">
        <f>'5.ECosts'!H62</f>
        <v>0</v>
      </c>
      <c r="E8" s="271">
        <f>'5.ECosts'!I62</f>
        <v>0</v>
      </c>
      <c r="F8" s="271">
        <f>'5.ECosts'!J62</f>
        <v>0</v>
      </c>
      <c r="G8" s="271">
        <f>'5.ECosts'!K62</f>
        <v>0</v>
      </c>
      <c r="H8" s="271">
        <f>'5.ECosts'!L62</f>
        <v>0</v>
      </c>
      <c r="I8" s="322">
        <f>'5.ECosts'!M62</f>
        <v>295.44738461538464</v>
      </c>
      <c r="J8" s="322">
        <f>'5.ECosts'!N62</f>
        <v>299.50246153846155</v>
      </c>
      <c r="K8" s="322">
        <f>'5.ECosts'!O62</f>
        <v>303.60000000000002</v>
      </c>
      <c r="L8" s="322">
        <f>'5.ECosts'!P62</f>
        <v>307.76123076923074</v>
      </c>
      <c r="M8" s="322">
        <f>'5.ECosts'!Q62</f>
        <v>311.98615384615385</v>
      </c>
      <c r="N8" s="322">
        <f>'5.ECosts'!R62</f>
        <v>316.25353846153843</v>
      </c>
      <c r="O8" s="322">
        <f>'5.ECosts'!S62</f>
        <v>320.5846153846154</v>
      </c>
      <c r="P8" s="322">
        <f>'5.ECosts'!T62</f>
        <v>324.97938461538462</v>
      </c>
      <c r="Q8" s="322">
        <f>'5.ECosts'!U62</f>
        <v>329.43784615384612</v>
      </c>
      <c r="R8" s="322">
        <f>'5.ECosts'!V62</f>
        <v>333.96</v>
      </c>
      <c r="S8" s="322">
        <f>'5.ECosts'!W62</f>
        <v>338.54584615384613</v>
      </c>
      <c r="T8" s="322">
        <f>'5.ECosts'!X62</f>
        <v>343.17415384615384</v>
      </c>
      <c r="U8" s="322">
        <f>'5.ECosts'!Y62</f>
        <v>347.86615384615391</v>
      </c>
      <c r="V8" s="322">
        <f>'5.ECosts'!Z62</f>
        <v>352.62184615384615</v>
      </c>
      <c r="W8" s="322">
        <f>'5.ECosts'!AA62</f>
        <v>357.46246153846153</v>
      </c>
      <c r="X8" s="322">
        <f>'5.ECosts'!AB62</f>
        <v>362.36676923076931</v>
      </c>
      <c r="Y8" s="322">
        <f>'5.ECosts'!AC62</f>
        <v>367.33476923076927</v>
      </c>
      <c r="Z8" s="322">
        <f>'5.ECosts'!AD62</f>
        <v>372.36646153846152</v>
      </c>
      <c r="AA8" s="322">
        <f>'5.ECosts'!AE62</f>
        <v>377.46184615384612</v>
      </c>
      <c r="AB8" s="322">
        <f>'5.ECosts'!AF62</f>
        <v>382.64215384615392</v>
      </c>
      <c r="AC8" s="322">
        <f>'5.ECosts'!AG62</f>
        <v>387.88615384615389</v>
      </c>
      <c r="AD8" s="322">
        <f>'5.ECosts'!AH62</f>
        <v>393.1938461538461</v>
      </c>
      <c r="AE8" s="322">
        <f>'5.ECosts'!AI62</f>
        <v>398.58646153846155</v>
      </c>
      <c r="AF8" s="322">
        <f>'5.ECosts'!AJ62</f>
        <v>404.0427692307693</v>
      </c>
      <c r="AG8" s="322">
        <f>'5.ECosts'!AK62</f>
        <v>409.584</v>
      </c>
      <c r="AH8" s="56"/>
    </row>
    <row r="9" spans="1:34" x14ac:dyDescent="0.55000000000000004">
      <c r="B9" s="20" t="s">
        <v>2</v>
      </c>
      <c r="C9" s="57">
        <f>SUM(D9:AG9)</f>
        <v>43658.974124285734</v>
      </c>
      <c r="D9" s="56">
        <f>SUM(D10:D12)*'1.Params_8.Sensitivity'!$D$48</f>
        <v>0</v>
      </c>
      <c r="E9" s="56">
        <f>SUM(E10:E12)*'1.Params_8.Sensitivity'!$D$48</f>
        <v>0</v>
      </c>
      <c r="F9" s="56">
        <f>SUM(F10:F12)*'1.Params_8.Sensitivity'!$D$48</f>
        <v>0</v>
      </c>
      <c r="G9" s="56">
        <f>SUM(G10:G12)*'1.Params_8.Sensitivity'!$D$48</f>
        <v>0</v>
      </c>
      <c r="H9" s="56">
        <f>SUM(H10:H12)*'1.Params_8.Sensitivity'!$D$48</f>
        <v>0</v>
      </c>
      <c r="I9" s="56">
        <f>SUM(I10:I12)*'1.Params_8.Sensitivity'!$D$48</f>
        <v>1368.6299157142857</v>
      </c>
      <c r="J9" s="56">
        <f>SUM(J10:J12)*'1.Params_8.Sensitivity'!$D$48</f>
        <v>1417.4739917142858</v>
      </c>
      <c r="K9" s="56">
        <f>SUM(K10:K12)*'1.Params_8.Sensitivity'!$D$48</f>
        <v>1466.639758</v>
      </c>
      <c r="L9" s="56">
        <f>SUM(L10:L12)*'1.Params_8.Sensitivity'!$D$48</f>
        <v>1517.6272145714288</v>
      </c>
      <c r="M9" s="56">
        <f>SUM(M10:M12)*'1.Params_8.Sensitivity'!$D$48</f>
        <v>1569.6863614285717</v>
      </c>
      <c r="N9" s="56">
        <f>SUM(N10:N12)*'1.Params_8.Sensitivity'!$D$48</f>
        <v>1590.1435871428573</v>
      </c>
      <c r="O9" s="56">
        <f>SUM(O10:O12)*'1.Params_8.Sensitivity'!$D$48</f>
        <v>1611.9268128571432</v>
      </c>
      <c r="P9" s="56">
        <f>SUM(P10:P12)*'1.Params_8.Sensitivity'!$D$48</f>
        <v>1633.7100385714286</v>
      </c>
      <c r="Q9" s="56">
        <f>SUM(Q10:Q12)*'1.Params_8.Sensitivity'!$D$48</f>
        <v>1657.7404900000004</v>
      </c>
      <c r="R9" s="56">
        <f>SUM(R10:R12)*'1.Params_8.Sensitivity'!$D$48</f>
        <v>1680.5617157142858</v>
      </c>
      <c r="S9" s="56">
        <f>SUM(S10:S12)*'1.Params_8.Sensitivity'!$D$48</f>
        <v>1703.2089414285717</v>
      </c>
      <c r="T9" s="56">
        <f>SUM(T10:T12)*'1.Params_8.Sensitivity'!$D$48</f>
        <v>1726.6061671428572</v>
      </c>
      <c r="U9" s="56">
        <f>SUM(U10:U12)*'1.Params_8.Sensitivity'!$D$48</f>
        <v>1749.2533928571431</v>
      </c>
      <c r="V9" s="56">
        <f>SUM(V10:V12)*'1.Params_8.Sensitivity'!$D$48</f>
        <v>1772.9386185714286</v>
      </c>
      <c r="W9" s="56">
        <f>SUM(W10:W12)*'1.Params_8.Sensitivity'!$D$48</f>
        <v>1798.8710700000001</v>
      </c>
      <c r="X9" s="56">
        <f>SUM(X10:X12)*'1.Params_8.Sensitivity'!$D$48</f>
        <v>1823.1322957142859</v>
      </c>
      <c r="Y9" s="56">
        <f>SUM(Y10:Y12)*'1.Params_8.Sensitivity'!$D$48</f>
        <v>1847.6815214285716</v>
      </c>
      <c r="Z9" s="56">
        <f>SUM(Z10:Z12)*'1.Params_8.Sensitivity'!$D$48</f>
        <v>1872.2307471428574</v>
      </c>
      <c r="AA9" s="56">
        <f>SUM(AA10:AA12)*'1.Params_8.Sensitivity'!$D$48</f>
        <v>1899.0271985714287</v>
      </c>
      <c r="AB9" s="56">
        <f>SUM(AB10:AB12)*'1.Params_8.Sensitivity'!$D$48</f>
        <v>1924.9024242857145</v>
      </c>
      <c r="AC9" s="56">
        <f>SUM(AC10:AC12)*'1.Params_8.Sensitivity'!$D$48</f>
        <v>1950.0276500000002</v>
      </c>
      <c r="AD9" s="56">
        <f>SUM(AD10:AD12)*'1.Params_8.Sensitivity'!$D$48</f>
        <v>1978.4381014285718</v>
      </c>
      <c r="AE9" s="56">
        <f>SUM(AE10:AE12)*'1.Params_8.Sensitivity'!$D$48</f>
        <v>2004.8893271428574</v>
      </c>
      <c r="AF9" s="56">
        <f>SUM(AF10:AF12)*'1.Params_8.Sensitivity'!$D$48</f>
        <v>2033.2997785714288</v>
      </c>
      <c r="AG9" s="56">
        <f>SUM(AG10:AG12)*'1.Params_8.Sensitivity'!$D$48</f>
        <v>2060.3270042857143</v>
      </c>
      <c r="AH9" s="56"/>
    </row>
    <row r="10" spans="1:34" s="78" customFormat="1" x14ac:dyDescent="0.55000000000000004">
      <c r="B10" s="19" t="s">
        <v>213</v>
      </c>
      <c r="C10" s="56">
        <f t="shared" ref="C10:C12" si="1">SUM(D10:AG10)</f>
        <v>39601.493999999992</v>
      </c>
      <c r="D10" s="81">
        <f>'6.EBenefits'!C21</f>
        <v>0</v>
      </c>
      <c r="E10" s="81">
        <f>'6.EBenefits'!D21</f>
        <v>0</v>
      </c>
      <c r="F10" s="81">
        <f>'6.EBenefits'!E21</f>
        <v>0</v>
      </c>
      <c r="G10" s="81">
        <f>'6.EBenefits'!F21</f>
        <v>0</v>
      </c>
      <c r="H10" s="81">
        <f>'6.EBenefits'!G21</f>
        <v>0</v>
      </c>
      <c r="I10" s="202">
        <f>'6.EBenefits'!H21</f>
        <v>1338.6959999999999</v>
      </c>
      <c r="J10" s="202">
        <f>'6.EBenefits'!I21</f>
        <v>1357.3679999999999</v>
      </c>
      <c r="K10" s="202">
        <f>'6.EBenefits'!J21</f>
        <v>1375.578</v>
      </c>
      <c r="L10" s="202">
        <f>'6.EBenefits'!K21</f>
        <v>1394.826</v>
      </c>
      <c r="M10" s="202">
        <f>'6.EBenefits'!L21</f>
        <v>1414.3620000000001</v>
      </c>
      <c r="N10" s="202">
        <f>'6.EBenefits'!M21</f>
        <v>1432.8600000000001</v>
      </c>
      <c r="O10" s="202">
        <f>'6.EBenefits'!N21</f>
        <v>1452.6840000000002</v>
      </c>
      <c r="P10" s="202">
        <f>'6.EBenefits'!O21</f>
        <v>1472.508</v>
      </c>
      <c r="Q10" s="202">
        <f>'6.EBenefits'!P21</f>
        <v>1492.6200000000001</v>
      </c>
      <c r="R10" s="202">
        <f>'6.EBenefits'!Q21</f>
        <v>1513.482</v>
      </c>
      <c r="S10" s="202">
        <f>'6.EBenefits'!R21</f>
        <v>1534.17</v>
      </c>
      <c r="T10" s="202">
        <f>'6.EBenefits'!S21</f>
        <v>1555.6079999999999</v>
      </c>
      <c r="U10" s="202">
        <f>'6.EBenefits'!T21</f>
        <v>1576.296</v>
      </c>
      <c r="V10" s="202">
        <f>'6.EBenefits'!U21</f>
        <v>1598.0219999999999</v>
      </c>
      <c r="W10" s="202">
        <f>'6.EBenefits'!V21</f>
        <v>1620.0360000000001</v>
      </c>
      <c r="X10" s="202">
        <f>'6.EBenefits'!W21</f>
        <v>1642.338</v>
      </c>
      <c r="Y10" s="202">
        <f>'6.EBenefits'!X21</f>
        <v>1664.9280000000001</v>
      </c>
      <c r="Z10" s="202">
        <f>'6.EBenefits'!Y21</f>
        <v>1687.518</v>
      </c>
      <c r="AA10" s="202">
        <f>'6.EBenefits'!Z21</f>
        <v>1710.396</v>
      </c>
      <c r="AB10" s="202">
        <f>'6.EBenefits'!AA21</f>
        <v>1734.3120000000001</v>
      </c>
      <c r="AC10" s="202">
        <f>'6.EBenefits'!AB21</f>
        <v>1757.4780000000001</v>
      </c>
      <c r="AD10" s="202">
        <f>'6.EBenefits'!AC21</f>
        <v>1781.9700000000003</v>
      </c>
      <c r="AE10" s="202">
        <f>'6.EBenefits'!AD21</f>
        <v>1806.4620000000002</v>
      </c>
      <c r="AF10" s="202">
        <f>'6.EBenefits'!AE21</f>
        <v>1830.9540000000002</v>
      </c>
      <c r="AG10" s="202">
        <f>'6.EBenefits'!AF21</f>
        <v>1856.0219999999999</v>
      </c>
      <c r="AH10" s="81"/>
    </row>
    <row r="11" spans="1:34" x14ac:dyDescent="0.55000000000000004">
      <c r="B11" s="19" t="s">
        <v>212</v>
      </c>
      <c r="C11" s="56">
        <f t="shared" si="1"/>
        <v>4043.8418742857148</v>
      </c>
      <c r="D11" s="56">
        <f>'6.EBenefits'!C23</f>
        <v>0</v>
      </c>
      <c r="E11" s="56">
        <f>'6.EBenefits'!D23</f>
        <v>0</v>
      </c>
      <c r="F11" s="56">
        <f>'6.EBenefits'!E23</f>
        <v>0</v>
      </c>
      <c r="G11" s="56">
        <f>'6.EBenefits'!F23</f>
        <v>0</v>
      </c>
      <c r="H11" s="56">
        <f>'6.EBenefits'!G23</f>
        <v>0</v>
      </c>
      <c r="I11" s="205">
        <f>'6.EBenefits'!H23</f>
        <v>29.388385714285718</v>
      </c>
      <c r="J11" s="205">
        <f>'6.EBenefits'!I23</f>
        <v>59.560461714285729</v>
      </c>
      <c r="K11" s="205">
        <f>'6.EBenefits'!J23</f>
        <v>90.516228000000012</v>
      </c>
      <c r="L11" s="205">
        <f>'6.EBenefits'!K23</f>
        <v>122.25568457142859</v>
      </c>
      <c r="M11" s="205">
        <f>'6.EBenefits'!L23</f>
        <v>154.77883142857144</v>
      </c>
      <c r="N11" s="205">
        <f>'6.EBenefits'!M23</f>
        <v>156.73805714285717</v>
      </c>
      <c r="O11" s="205">
        <f>'6.EBenefits'!N23</f>
        <v>158.69728285714288</v>
      </c>
      <c r="P11" s="205">
        <f>'6.EBenefits'!O23</f>
        <v>160.65650857142859</v>
      </c>
      <c r="Q11" s="205">
        <f>'6.EBenefits'!P23</f>
        <v>164.57496000000003</v>
      </c>
      <c r="R11" s="205">
        <f>'6.EBenefits'!Q23</f>
        <v>166.53418571428574</v>
      </c>
      <c r="S11" s="205">
        <f>'6.EBenefits'!R23</f>
        <v>168.49341142857145</v>
      </c>
      <c r="T11" s="205">
        <f>'6.EBenefits'!S23</f>
        <v>170.45263714285716</v>
      </c>
      <c r="U11" s="205">
        <f>'6.EBenefits'!T23</f>
        <v>172.41186285714286</v>
      </c>
      <c r="V11" s="205">
        <f>'6.EBenefits'!U23</f>
        <v>174.37108857142857</v>
      </c>
      <c r="W11" s="205">
        <f>'6.EBenefits'!V23</f>
        <v>178.28954000000004</v>
      </c>
      <c r="X11" s="205">
        <f>'6.EBenefits'!W23</f>
        <v>180.24876571428575</v>
      </c>
      <c r="Y11" s="205">
        <f>'6.EBenefits'!X23</f>
        <v>182.20799142857146</v>
      </c>
      <c r="Z11" s="205">
        <f>'6.EBenefits'!Y23</f>
        <v>184.16721714285717</v>
      </c>
      <c r="AA11" s="205">
        <f>'6.EBenefits'!Z23</f>
        <v>188.08566857142858</v>
      </c>
      <c r="AB11" s="205">
        <f>'6.EBenefits'!AA23</f>
        <v>190.04489428571429</v>
      </c>
      <c r="AC11" s="205">
        <f>'6.EBenefits'!AB23</f>
        <v>192.00412000000003</v>
      </c>
      <c r="AD11" s="205">
        <f>'6.EBenefits'!AC23</f>
        <v>195.92257142857144</v>
      </c>
      <c r="AE11" s="205">
        <f>'6.EBenefits'!AD23</f>
        <v>197.88179714285715</v>
      </c>
      <c r="AF11" s="205">
        <f>'6.EBenefits'!AE23</f>
        <v>201.80024857142857</v>
      </c>
      <c r="AG11" s="205">
        <f>'6.EBenefits'!AF23</f>
        <v>203.7594742857143</v>
      </c>
      <c r="AH11" s="56"/>
    </row>
    <row r="12" spans="1:34" x14ac:dyDescent="0.55000000000000004">
      <c r="B12" s="19" t="s">
        <v>214</v>
      </c>
      <c r="C12" s="56">
        <f t="shared" si="1"/>
        <v>13.638249999999996</v>
      </c>
      <c r="D12" s="56">
        <f>'6.EBenefits'!C25</f>
        <v>0</v>
      </c>
      <c r="E12" s="56">
        <f>'6.EBenefits'!D25</f>
        <v>0</v>
      </c>
      <c r="F12" s="56">
        <f>'6.EBenefits'!E25</f>
        <v>0</v>
      </c>
      <c r="G12" s="56">
        <f>'6.EBenefits'!F25</f>
        <v>0</v>
      </c>
      <c r="H12" s="56">
        <f>'6.EBenefits'!G25</f>
        <v>0</v>
      </c>
      <c r="I12" s="206">
        <f>'6.EBenefits'!H25</f>
        <v>0.54552999999999996</v>
      </c>
      <c r="J12" s="206">
        <f>'6.EBenefits'!I25</f>
        <v>0.54552999999999996</v>
      </c>
      <c r="K12" s="206">
        <f>'6.EBenefits'!J25</f>
        <v>0.54552999999999996</v>
      </c>
      <c r="L12" s="206">
        <f>'6.EBenefits'!K25</f>
        <v>0.54552999999999996</v>
      </c>
      <c r="M12" s="206">
        <f>'6.EBenefits'!L25</f>
        <v>0.54552999999999996</v>
      </c>
      <c r="N12" s="206">
        <f>'6.EBenefits'!M25</f>
        <v>0.54552999999999996</v>
      </c>
      <c r="O12" s="206">
        <f>'6.EBenefits'!N25</f>
        <v>0.54552999999999996</v>
      </c>
      <c r="P12" s="206">
        <f>'6.EBenefits'!O25</f>
        <v>0.54552999999999996</v>
      </c>
      <c r="Q12" s="206">
        <f>'6.EBenefits'!P25</f>
        <v>0.54552999999999996</v>
      </c>
      <c r="R12" s="206">
        <f>'6.EBenefits'!Q25</f>
        <v>0.54552999999999996</v>
      </c>
      <c r="S12" s="206">
        <f>'6.EBenefits'!R25</f>
        <v>0.54552999999999996</v>
      </c>
      <c r="T12" s="206">
        <f>'6.EBenefits'!S25</f>
        <v>0.54552999999999996</v>
      </c>
      <c r="U12" s="206">
        <f>'6.EBenefits'!T25</f>
        <v>0.54552999999999996</v>
      </c>
      <c r="V12" s="206">
        <f>'6.EBenefits'!U25</f>
        <v>0.54552999999999996</v>
      </c>
      <c r="W12" s="206">
        <f>'6.EBenefits'!V25</f>
        <v>0.54552999999999996</v>
      </c>
      <c r="X12" s="206">
        <f>'6.EBenefits'!W25</f>
        <v>0.54552999999999996</v>
      </c>
      <c r="Y12" s="206">
        <f>'6.EBenefits'!X25</f>
        <v>0.54552999999999996</v>
      </c>
      <c r="Z12" s="206">
        <f>'6.EBenefits'!Y25</f>
        <v>0.54552999999999996</v>
      </c>
      <c r="AA12" s="206">
        <f>'6.EBenefits'!Z25</f>
        <v>0.54552999999999996</v>
      </c>
      <c r="AB12" s="206">
        <f>'6.EBenefits'!AA25</f>
        <v>0.54552999999999996</v>
      </c>
      <c r="AC12" s="206">
        <f>'6.EBenefits'!AB25</f>
        <v>0.54552999999999996</v>
      </c>
      <c r="AD12" s="206">
        <f>'6.EBenefits'!AC25</f>
        <v>0.54552999999999996</v>
      </c>
      <c r="AE12" s="206">
        <f>'6.EBenefits'!AD25</f>
        <v>0.54552999999999996</v>
      </c>
      <c r="AF12" s="206">
        <f>'6.EBenefits'!AE25</f>
        <v>0.54552999999999996</v>
      </c>
      <c r="AG12" s="206">
        <f>'6.EBenefits'!AF25</f>
        <v>0.54552999999999996</v>
      </c>
      <c r="AH12" s="56"/>
    </row>
    <row r="13" spans="1:34" x14ac:dyDescent="0.55000000000000004">
      <c r="B13" s="21" t="s">
        <v>3</v>
      </c>
      <c r="C13" s="58">
        <f>SUM(D13:AG13)</f>
        <v>28949.176827854084</v>
      </c>
      <c r="D13" s="50">
        <f t="shared" ref="D13:AF13" si="2">D9-D4</f>
        <v>-165.55581589958157</v>
      </c>
      <c r="E13" s="50">
        <f t="shared" si="2"/>
        <v>-413.88953974895395</v>
      </c>
      <c r="F13" s="50">
        <f t="shared" si="2"/>
        <v>-1241.6686192468617</v>
      </c>
      <c r="G13" s="50">
        <f t="shared" si="2"/>
        <v>-1862.5029288702931</v>
      </c>
      <c r="H13" s="50">
        <f t="shared" si="2"/>
        <v>-455.27849372384929</v>
      </c>
      <c r="I13" s="50">
        <f t="shared" si="2"/>
        <v>990.40462314911031</v>
      </c>
      <c r="J13" s="50">
        <f t="shared" si="2"/>
        <v>1035.1936222260335</v>
      </c>
      <c r="K13" s="50">
        <f t="shared" si="2"/>
        <v>1080.2618500502092</v>
      </c>
      <c r="L13" s="50">
        <f t="shared" si="2"/>
        <v>1127.0880758524072</v>
      </c>
      <c r="M13" s="50">
        <f t="shared" si="2"/>
        <v>1174.9222996326271</v>
      </c>
      <c r="N13" s="50">
        <f t="shared" si="2"/>
        <v>1191.1121407315281</v>
      </c>
      <c r="O13" s="50">
        <f t="shared" si="2"/>
        <v>1208.564289522737</v>
      </c>
      <c r="P13" s="50">
        <f t="shared" si="2"/>
        <v>1225.9527460062532</v>
      </c>
      <c r="Q13" s="50">
        <f t="shared" si="2"/>
        <v>1245.5247358963634</v>
      </c>
      <c r="R13" s="50">
        <f t="shared" si="2"/>
        <v>1263.8238077644951</v>
      </c>
      <c r="S13" s="50">
        <f t="shared" si="2"/>
        <v>1281.8851873249348</v>
      </c>
      <c r="T13" s="50">
        <f t="shared" si="2"/>
        <v>1300.6541053469125</v>
      </c>
      <c r="U13" s="50">
        <f t="shared" si="2"/>
        <v>1318.6093310611984</v>
      </c>
      <c r="V13" s="50">
        <f t="shared" si="2"/>
        <v>1337.5388644677917</v>
      </c>
      <c r="W13" s="50">
        <f t="shared" si="2"/>
        <v>1358.6307005117478</v>
      </c>
      <c r="X13" s="50">
        <f t="shared" si="2"/>
        <v>1377.9876185337257</v>
      </c>
      <c r="Y13" s="50">
        <f t="shared" si="2"/>
        <v>1397.5688442480116</v>
      </c>
      <c r="Z13" s="50">
        <f t="shared" si="2"/>
        <v>1417.086377654605</v>
      </c>
      <c r="AA13" s="50">
        <f t="shared" si="2"/>
        <v>1438.7874444677918</v>
      </c>
      <c r="AB13" s="50">
        <f t="shared" si="2"/>
        <v>1459.4823624897697</v>
      </c>
      <c r="AC13" s="50">
        <f t="shared" si="2"/>
        <v>1479.3635882040555</v>
      </c>
      <c r="AD13" s="50">
        <f t="shared" si="2"/>
        <v>1502.466347324935</v>
      </c>
      <c r="AE13" s="50">
        <f t="shared" si="2"/>
        <v>1523.524957654605</v>
      </c>
      <c r="AF13" s="50">
        <f t="shared" si="2"/>
        <v>1546.4791013908687</v>
      </c>
      <c r="AG13" s="50">
        <f>AG9-AG4-AH7</f>
        <v>1805.1592038309116</v>
      </c>
      <c r="AH13" s="50"/>
    </row>
    <row r="14" spans="1:34" x14ac:dyDescent="0.55000000000000004">
      <c r="B14" s="10"/>
    </row>
    <row r="15" spans="1:34" x14ac:dyDescent="0.55000000000000004">
      <c r="B15" t="str">
        <f>"Economic Discount Rate ("&amp;TEXT('1.Params_8.Sensitivity'!D13,"0%")&amp;")"</f>
        <v>Economic Discount Rate (12%)</v>
      </c>
      <c r="C15" s="38" t="s">
        <v>132</v>
      </c>
      <c r="D15" s="2">
        <f>1/(1+'1.Params_8.Sensitivity'!$D$12)^D3</f>
        <v>0.89285714285714279</v>
      </c>
      <c r="E15" s="2">
        <f>1/(1+'1.Params_8.Sensitivity'!$D$12)^E3</f>
        <v>0.79719387755102034</v>
      </c>
      <c r="F15" s="2">
        <f>1/(1+'1.Params_8.Sensitivity'!$D$12)^F3</f>
        <v>0.71178024781341087</v>
      </c>
      <c r="G15" s="2">
        <f>1/(1+'1.Params_8.Sensitivity'!$D$12)^G3</f>
        <v>0.63551807840483121</v>
      </c>
      <c r="H15" s="2">
        <f>1/(1+'1.Params_8.Sensitivity'!$D$12)^H3</f>
        <v>0.56742685571859919</v>
      </c>
      <c r="I15" s="2">
        <f>1/(1+'1.Params_8.Sensitivity'!$D$12)^I3</f>
        <v>0.50663112117732068</v>
      </c>
      <c r="J15" s="2">
        <f>1/(1+'1.Params_8.Sensitivity'!$D$12)^J3</f>
        <v>0.45234921533689343</v>
      </c>
      <c r="K15" s="2">
        <f>1/(1+'1.Params_8.Sensitivity'!$D$12)^K3</f>
        <v>0.4038832279793691</v>
      </c>
      <c r="L15" s="2">
        <f>1/(1+'1.Params_8.Sensitivity'!$D$12)^L3</f>
        <v>0.36061002498157957</v>
      </c>
      <c r="M15" s="2">
        <f>1/(1+'1.Params_8.Sensitivity'!$D$12)^M3</f>
        <v>0.32197323659069599</v>
      </c>
      <c r="N15" s="2">
        <f>1/(1+'1.Params_8.Sensitivity'!$D$12)^N3</f>
        <v>0.28747610409883567</v>
      </c>
      <c r="O15" s="2">
        <f>1/(1+'1.Params_8.Sensitivity'!$D$12)^O3</f>
        <v>0.25667509294538904</v>
      </c>
      <c r="P15" s="2">
        <f>1/(1+'1.Params_8.Sensitivity'!$D$12)^P3</f>
        <v>0.22917419012981158</v>
      </c>
      <c r="Q15" s="2">
        <f>1/(1+'1.Params_8.Sensitivity'!$D$12)^Q3</f>
        <v>0.20461981261590317</v>
      </c>
      <c r="R15" s="2">
        <f>1/(1+'1.Params_8.Sensitivity'!$D$12)^R3</f>
        <v>0.18269626126419927</v>
      </c>
      <c r="S15" s="2">
        <f>1/(1+'1.Params_8.Sensitivity'!$D$12)^S3</f>
        <v>0.16312166184303503</v>
      </c>
      <c r="T15" s="2">
        <f>1/(1+'1.Params_8.Sensitivity'!$D$12)^T3</f>
        <v>0.14564434093128129</v>
      </c>
      <c r="U15" s="2">
        <f>1/(1+'1.Params_8.Sensitivity'!$D$12)^U3</f>
        <v>0.13003959011721541</v>
      </c>
      <c r="V15" s="2">
        <f>1/(1+'1.Params_8.Sensitivity'!$D$12)^V3</f>
        <v>0.1161067768903709</v>
      </c>
      <c r="W15" s="2">
        <f>1/(1+'1.Params_8.Sensitivity'!$D$12)^W3</f>
        <v>0.1036667650806883</v>
      </c>
      <c r="X15" s="2">
        <f>1/(1+'1.Params_8.Sensitivity'!$D$12)^X3</f>
        <v>9.2559611679185971E-2</v>
      </c>
      <c r="Y15" s="2">
        <f>1/(1+'1.Params_8.Sensitivity'!$D$12)^Y3</f>
        <v>8.2642510427844609E-2</v>
      </c>
      <c r="Z15" s="2">
        <f>1/(1+'1.Params_8.Sensitivity'!$D$12)^Z3</f>
        <v>7.3787955739146982E-2</v>
      </c>
      <c r="AA15" s="2">
        <f>1/(1+'1.Params_8.Sensitivity'!$D$12)^AA3</f>
        <v>6.5882103338524081E-2</v>
      </c>
      <c r="AB15" s="2">
        <f>1/(1+'1.Params_8.Sensitivity'!$D$12)^AB3</f>
        <v>5.8823306552253637E-2</v>
      </c>
      <c r="AC15" s="2">
        <f>1/(1+'1.Params_8.Sensitivity'!$D$12)^AC3</f>
        <v>5.2520809421655032E-2</v>
      </c>
      <c r="AD15" s="2">
        <f>1/(1+'1.Params_8.Sensitivity'!$D$12)^AD3</f>
        <v>4.6893579840763415E-2</v>
      </c>
      <c r="AE15" s="2">
        <f>1/(1+'1.Params_8.Sensitivity'!$D$12)^AE3</f>
        <v>4.1869267714967337E-2</v>
      </c>
      <c r="AF15" s="2">
        <f>1/(1+'1.Params_8.Sensitivity'!$D$12)^AF3</f>
        <v>3.7383274745506546E-2</v>
      </c>
      <c r="AG15" s="2">
        <f>1/(1+'1.Params_8.Sensitivity'!$D$12)^AG3</f>
        <v>3.3377923879916553E-2</v>
      </c>
      <c r="AH15" s="2"/>
    </row>
    <row r="17" spans="1:34" x14ac:dyDescent="0.55000000000000004">
      <c r="B17" s="400" t="s">
        <v>135</v>
      </c>
      <c r="C17" s="400" t="s">
        <v>24</v>
      </c>
      <c r="D17" s="405" t="s">
        <v>0</v>
      </c>
      <c r="E17" s="405"/>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0" t="s">
        <v>30</v>
      </c>
    </row>
    <row r="18" spans="1:34" x14ac:dyDescent="0.55000000000000004">
      <c r="B18" s="401"/>
      <c r="C18" s="401"/>
      <c r="D18" s="11">
        <v>1</v>
      </c>
      <c r="E18" s="11">
        <v>2</v>
      </c>
      <c r="F18" s="11">
        <v>3</v>
      </c>
      <c r="G18" s="11">
        <v>4</v>
      </c>
      <c r="H18" s="11">
        <v>5</v>
      </c>
      <c r="I18" s="84">
        <v>6</v>
      </c>
      <c r="J18" s="84">
        <v>7</v>
      </c>
      <c r="K18" s="84">
        <v>8</v>
      </c>
      <c r="L18" s="84">
        <v>9</v>
      </c>
      <c r="M18" s="84">
        <v>10</v>
      </c>
      <c r="N18" s="84">
        <v>11</v>
      </c>
      <c r="O18" s="84">
        <v>12</v>
      </c>
      <c r="P18" s="84">
        <v>13</v>
      </c>
      <c r="Q18" s="84">
        <v>14</v>
      </c>
      <c r="R18" s="84">
        <v>15</v>
      </c>
      <c r="S18" s="84">
        <v>16</v>
      </c>
      <c r="T18" s="84">
        <v>17</v>
      </c>
      <c r="U18" s="84">
        <v>18</v>
      </c>
      <c r="V18" s="84">
        <v>19</v>
      </c>
      <c r="W18" s="84">
        <v>20</v>
      </c>
      <c r="X18" s="84">
        <v>21</v>
      </c>
      <c r="Y18" s="84">
        <v>22</v>
      </c>
      <c r="Z18" s="84">
        <v>23</v>
      </c>
      <c r="AA18" s="84">
        <v>24</v>
      </c>
      <c r="AB18" s="84">
        <v>25</v>
      </c>
      <c r="AC18" s="84">
        <v>26</v>
      </c>
      <c r="AD18" s="84">
        <v>27</v>
      </c>
      <c r="AE18" s="84">
        <v>28</v>
      </c>
      <c r="AF18" s="84">
        <v>29</v>
      </c>
      <c r="AG18" s="84">
        <v>30</v>
      </c>
      <c r="AH18" s="401"/>
    </row>
    <row r="19" spans="1:34" x14ac:dyDescent="0.55000000000000004">
      <c r="B19" s="18" t="s">
        <v>1</v>
      </c>
      <c r="C19" s="59">
        <f>SUM(D19:AG19)+C22</f>
        <v>4610.8140236119225</v>
      </c>
      <c r="D19" s="60">
        <f>D4*D$15</f>
        <v>147.81769276748355</v>
      </c>
      <c r="E19" s="60">
        <f t="shared" ref="E19:AG19" si="3">E4*E$15</f>
        <v>329.95020707027578</v>
      </c>
      <c r="F19" s="60">
        <f t="shared" si="3"/>
        <v>883.79519750966688</v>
      </c>
      <c r="G19" s="60">
        <f t="shared" si="3"/>
        <v>1183.6542823790187</v>
      </c>
      <c r="H19" s="60">
        <f t="shared" si="3"/>
        <v>258.33724417002378</v>
      </c>
      <c r="I19" s="60">
        <f t="shared" si="3"/>
        <v>191.62070402991498</v>
      </c>
      <c r="J19" s="60">
        <f t="shared" si="3"/>
        <v>172.92422517670863</v>
      </c>
      <c r="K19" s="60">
        <f t="shared" si="3"/>
        <v>156.05155668267705</v>
      </c>
      <c r="L19" s="60">
        <f t="shared" si="3"/>
        <v>140.83232856975093</v>
      </c>
      <c r="M19" s="60">
        <f t="shared" si="3"/>
        <v>127.10346266612981</v>
      </c>
      <c r="N19" s="60">
        <f t="shared" si="3"/>
        <v>114.71200562725225</v>
      </c>
      <c r="O19" s="60">
        <f t="shared" si="3"/>
        <v>103.53311316754537</v>
      </c>
      <c r="P19" s="60">
        <f t="shared" si="3"/>
        <v>93.447447293148713</v>
      </c>
      <c r="Q19" s="60">
        <f t="shared" si="3"/>
        <v>84.347510362009402</v>
      </c>
      <c r="R19" s="60">
        <f t="shared" si="3"/>
        <v>76.136457709490799</v>
      </c>
      <c r="S19" s="60">
        <f t="shared" si="3"/>
        <v>68.727030943331513</v>
      </c>
      <c r="T19" s="60">
        <f t="shared" si="3"/>
        <v>62.037507308590754</v>
      </c>
      <c r="U19" s="60">
        <f t="shared" si="3"/>
        <v>56.000777282357433</v>
      </c>
      <c r="V19" s="60">
        <f t="shared" si="3"/>
        <v>50.552862107833327</v>
      </c>
      <c r="W19" s="60">
        <f t="shared" si="3"/>
        <v>45.638294962774069</v>
      </c>
      <c r="X19" s="60">
        <f t="shared" si="3"/>
        <v>41.202418460889241</v>
      </c>
      <c r="Y19" s="60">
        <f t="shared" si="3"/>
        <v>37.198441617599492</v>
      </c>
      <c r="Z19" s="60">
        <f t="shared" si="3"/>
        <v>33.584172590721124</v>
      </c>
      <c r="AA19" s="60">
        <f t="shared" si="3"/>
        <v>30.321563040352721</v>
      </c>
      <c r="AB19" s="60">
        <f t="shared" si="3"/>
        <v>27.377546970591688</v>
      </c>
      <c r="AC19" s="60">
        <f t="shared" si="3"/>
        <v>24.719657491206878</v>
      </c>
      <c r="AD19" s="60">
        <f t="shared" si="3"/>
        <v>22.320019453007109</v>
      </c>
      <c r="AE19" s="60">
        <f t="shared" si="3"/>
        <v>20.154373654550092</v>
      </c>
      <c r="AF19" s="60">
        <f t="shared" si="3"/>
        <v>18.198951126834427</v>
      </c>
      <c r="AG19" s="60">
        <f t="shared" si="3"/>
        <v>16.434018284918597</v>
      </c>
      <c r="AH19" s="60"/>
    </row>
    <row r="20" spans="1:34" x14ac:dyDescent="0.55000000000000004">
      <c r="B20" s="19" t="s">
        <v>225</v>
      </c>
      <c r="C20" s="56">
        <f t="shared" ref="C20:C26" si="4">SUM(D20:AG20)</f>
        <v>2803.5546238964689</v>
      </c>
      <c r="D20" s="56">
        <f t="shared" ref="D20:H20" si="5">D5*D$15</f>
        <v>147.81769276748355</v>
      </c>
      <c r="E20" s="56">
        <f t="shared" si="5"/>
        <v>329.95020707027578</v>
      </c>
      <c r="F20" s="56">
        <f t="shared" si="5"/>
        <v>883.79519750966688</v>
      </c>
      <c r="G20" s="56">
        <f t="shared" si="5"/>
        <v>1183.6542823790187</v>
      </c>
      <c r="H20" s="56">
        <f t="shared" si="5"/>
        <v>258.33724417002378</v>
      </c>
      <c r="I20" s="316" t="s">
        <v>31</v>
      </c>
      <c r="J20" s="316" t="s">
        <v>31</v>
      </c>
      <c r="K20" s="316" t="s">
        <v>31</v>
      </c>
      <c r="L20" s="316" t="s">
        <v>31</v>
      </c>
      <c r="M20" s="316" t="s">
        <v>31</v>
      </c>
      <c r="N20" s="316" t="s">
        <v>31</v>
      </c>
      <c r="O20" s="316" t="s">
        <v>31</v>
      </c>
      <c r="P20" s="316" t="s">
        <v>31</v>
      </c>
      <c r="Q20" s="316" t="s">
        <v>31</v>
      </c>
      <c r="R20" s="316" t="s">
        <v>31</v>
      </c>
      <c r="S20" s="316" t="s">
        <v>31</v>
      </c>
      <c r="T20" s="316" t="s">
        <v>31</v>
      </c>
      <c r="U20" s="316" t="s">
        <v>31</v>
      </c>
      <c r="V20" s="316" t="s">
        <v>31</v>
      </c>
      <c r="W20" s="316" t="s">
        <v>31</v>
      </c>
      <c r="X20" s="316" t="s">
        <v>31</v>
      </c>
      <c r="Y20" s="316" t="s">
        <v>31</v>
      </c>
      <c r="Z20" s="316" t="s">
        <v>31</v>
      </c>
      <c r="AA20" s="316" t="s">
        <v>31</v>
      </c>
      <c r="AB20" s="316" t="s">
        <v>31</v>
      </c>
      <c r="AC20" s="316" t="s">
        <v>31</v>
      </c>
      <c r="AD20" s="316" t="s">
        <v>31</v>
      </c>
      <c r="AE20" s="316" t="s">
        <v>31</v>
      </c>
      <c r="AF20" s="316" t="s">
        <v>31</v>
      </c>
      <c r="AG20" s="316" t="s">
        <v>31</v>
      </c>
      <c r="AH20" s="56"/>
    </row>
    <row r="21" spans="1:34" x14ac:dyDescent="0.55000000000000004">
      <c r="B21" s="19" t="s">
        <v>226</v>
      </c>
      <c r="C21" s="56">
        <f>SUM(D21:AG21)</f>
        <v>368.39544433688781</v>
      </c>
      <c r="D21" s="56">
        <f t="shared" ref="D21:AG21" si="6">D6*D$15</f>
        <v>0</v>
      </c>
      <c r="E21" s="56">
        <f t="shared" si="6"/>
        <v>0</v>
      </c>
      <c r="F21" s="56">
        <f t="shared" si="6"/>
        <v>0</v>
      </c>
      <c r="G21" s="56">
        <f t="shared" si="6"/>
        <v>0</v>
      </c>
      <c r="H21" s="56">
        <f t="shared" si="6"/>
        <v>0</v>
      </c>
      <c r="I21" s="56">
        <f t="shared" si="6"/>
        <v>41.937864313315551</v>
      </c>
      <c r="J21" s="56">
        <f t="shared" si="6"/>
        <v>37.444521708317453</v>
      </c>
      <c r="K21" s="56">
        <f t="shared" si="6"/>
        <v>33.432608668140581</v>
      </c>
      <c r="L21" s="56">
        <f t="shared" si="6"/>
        <v>29.85054345369695</v>
      </c>
      <c r="M21" s="56">
        <f t="shared" si="6"/>
        <v>26.652270940800843</v>
      </c>
      <c r="N21" s="56">
        <f t="shared" si="6"/>
        <v>23.796670482857895</v>
      </c>
      <c r="O21" s="56">
        <f t="shared" si="6"/>
        <v>21.247027216837409</v>
      </c>
      <c r="P21" s="56">
        <f t="shared" si="6"/>
        <v>18.970560015033396</v>
      </c>
      <c r="Q21" s="56">
        <f t="shared" si="6"/>
        <v>16.938000013422673</v>
      </c>
      <c r="R21" s="56">
        <f t="shared" si="6"/>
        <v>15.123214297698816</v>
      </c>
      <c r="S21" s="56">
        <f t="shared" si="6"/>
        <v>13.502869908659655</v>
      </c>
      <c r="T21" s="56">
        <f t="shared" si="6"/>
        <v>12.056133847017549</v>
      </c>
      <c r="U21" s="56">
        <f t="shared" si="6"/>
        <v>10.764405220551382</v>
      </c>
      <c r="V21" s="56">
        <f t="shared" si="6"/>
        <v>9.6110760897780185</v>
      </c>
      <c r="W21" s="56">
        <f t="shared" si="6"/>
        <v>8.5813179373018009</v>
      </c>
      <c r="X21" s="56">
        <f t="shared" si="6"/>
        <v>7.6618910154480364</v>
      </c>
      <c r="Y21" s="56">
        <f t="shared" si="6"/>
        <v>6.840974120935746</v>
      </c>
      <c r="Z21" s="56">
        <f t="shared" si="6"/>
        <v>6.1080126079783454</v>
      </c>
      <c r="AA21" s="56">
        <f t="shared" si="6"/>
        <v>5.4535826856949505</v>
      </c>
      <c r="AB21" s="56">
        <f t="shared" si="6"/>
        <v>4.8692702550847766</v>
      </c>
      <c r="AC21" s="56">
        <f t="shared" si="6"/>
        <v>4.3475627277542648</v>
      </c>
      <c r="AD21" s="56">
        <f t="shared" si="6"/>
        <v>3.8817524354948789</v>
      </c>
      <c r="AE21" s="56">
        <f t="shared" si="6"/>
        <v>3.4658503888347134</v>
      </c>
      <c r="AF21" s="56">
        <f t="shared" si="6"/>
        <v>3.0945092757452795</v>
      </c>
      <c r="AG21" s="56">
        <f t="shared" si="6"/>
        <v>2.7629547104868561</v>
      </c>
      <c r="AH21" s="56"/>
    </row>
    <row r="22" spans="1:34" x14ac:dyDescent="0.55000000000000004">
      <c r="B22" s="19" t="s">
        <v>227</v>
      </c>
      <c r="C22" s="56">
        <f>AH22</f>
        <v>-7.9170468647324537</v>
      </c>
      <c r="D22" s="316" t="s">
        <v>31</v>
      </c>
      <c r="E22" s="316" t="s">
        <v>31</v>
      </c>
      <c r="F22" s="316" t="s">
        <v>31</v>
      </c>
      <c r="G22" s="316" t="s">
        <v>31</v>
      </c>
      <c r="H22" s="316" t="s">
        <v>31</v>
      </c>
      <c r="I22" s="316" t="s">
        <v>31</v>
      </c>
      <c r="J22" s="316" t="s">
        <v>31</v>
      </c>
      <c r="K22" s="316" t="s">
        <v>31</v>
      </c>
      <c r="L22" s="316" t="s">
        <v>31</v>
      </c>
      <c r="M22" s="316" t="s">
        <v>31</v>
      </c>
      <c r="N22" s="316" t="s">
        <v>31</v>
      </c>
      <c r="O22" s="316" t="s">
        <v>31</v>
      </c>
      <c r="P22" s="316" t="s">
        <v>31</v>
      </c>
      <c r="Q22" s="316" t="s">
        <v>31</v>
      </c>
      <c r="R22" s="316" t="s">
        <v>31</v>
      </c>
      <c r="S22" s="316" t="s">
        <v>31</v>
      </c>
      <c r="T22" s="316" t="s">
        <v>31</v>
      </c>
      <c r="U22" s="316" t="s">
        <v>31</v>
      </c>
      <c r="V22" s="316" t="s">
        <v>31</v>
      </c>
      <c r="W22" s="316" t="s">
        <v>31</v>
      </c>
      <c r="X22" s="316" t="s">
        <v>31</v>
      </c>
      <c r="Y22" s="316" t="s">
        <v>31</v>
      </c>
      <c r="Z22" s="316" t="s">
        <v>31</v>
      </c>
      <c r="AA22" s="316" t="s">
        <v>31</v>
      </c>
      <c r="AB22" s="316" t="s">
        <v>31</v>
      </c>
      <c r="AC22" s="316" t="s">
        <v>31</v>
      </c>
      <c r="AD22" s="316" t="s">
        <v>31</v>
      </c>
      <c r="AE22" s="316" t="s">
        <v>31</v>
      </c>
      <c r="AF22" s="316" t="s">
        <v>31</v>
      </c>
      <c r="AG22" s="316" t="s">
        <v>31</v>
      </c>
      <c r="AH22" s="56">
        <f>AH7*AG15</f>
        <v>-7.9170468647324537</v>
      </c>
    </row>
    <row r="23" spans="1:34" x14ac:dyDescent="0.55000000000000004">
      <c r="B23" s="19" t="s">
        <v>228</v>
      </c>
      <c r="C23" s="56">
        <f>SUM(D23:AG23)</f>
        <v>1446.7810022432986</v>
      </c>
      <c r="D23" s="219">
        <f t="shared" ref="D23:H23" si="7">D8*D15</f>
        <v>0</v>
      </c>
      <c r="E23" s="219">
        <f t="shared" si="7"/>
        <v>0</v>
      </c>
      <c r="F23" s="219">
        <f t="shared" si="7"/>
        <v>0</v>
      </c>
      <c r="G23" s="219">
        <f t="shared" si="7"/>
        <v>0</v>
      </c>
      <c r="H23" s="219">
        <f t="shared" si="7"/>
        <v>0</v>
      </c>
      <c r="I23" s="219">
        <f>I8*I15</f>
        <v>149.6828397165994</v>
      </c>
      <c r="J23" s="219">
        <f t="shared" ref="J23:AG23" si="8">J8*J15</f>
        <v>135.47970346839119</v>
      </c>
      <c r="K23" s="219">
        <f t="shared" si="8"/>
        <v>122.61894801453647</v>
      </c>
      <c r="L23" s="219">
        <f t="shared" si="8"/>
        <v>110.98178511605397</v>
      </c>
      <c r="M23" s="219">
        <f t="shared" si="8"/>
        <v>100.45119172532897</v>
      </c>
      <c r="N23" s="219">
        <f t="shared" si="8"/>
        <v>90.915335144394348</v>
      </c>
      <c r="O23" s="219">
        <f t="shared" si="8"/>
        <v>82.286085950707957</v>
      </c>
      <c r="P23" s="219">
        <f t="shared" si="8"/>
        <v>74.476887278115314</v>
      </c>
      <c r="Q23" s="219">
        <f t="shared" si="8"/>
        <v>67.409510348586736</v>
      </c>
      <c r="R23" s="219">
        <f t="shared" si="8"/>
        <v>61.013243411791983</v>
      </c>
      <c r="S23" s="219">
        <f t="shared" si="8"/>
        <v>55.224161034671852</v>
      </c>
      <c r="T23" s="219">
        <f t="shared" si="8"/>
        <v>49.981373461573206</v>
      </c>
      <c r="U23" s="219">
        <f t="shared" si="8"/>
        <v>45.236372061806051</v>
      </c>
      <c r="V23" s="219">
        <f t="shared" si="8"/>
        <v>40.941786018055303</v>
      </c>
      <c r="W23" s="219">
        <f t="shared" si="8"/>
        <v>37.056977025472264</v>
      </c>
      <c r="X23" s="219">
        <f t="shared" si="8"/>
        <v>33.540527445441199</v>
      </c>
      <c r="Y23" s="219">
        <f t="shared" si="8"/>
        <v>30.357467496663741</v>
      </c>
      <c r="Z23" s="219">
        <f t="shared" si="8"/>
        <v>27.476159982742775</v>
      </c>
      <c r="AA23" s="219">
        <f t="shared" si="8"/>
        <v>24.867980354657767</v>
      </c>
      <c r="AB23" s="219">
        <f t="shared" si="8"/>
        <v>22.508276715506909</v>
      </c>
      <c r="AC23" s="219">
        <f t="shared" si="8"/>
        <v>20.372094763452612</v>
      </c>
      <c r="AD23" s="219">
        <f t="shared" si="8"/>
        <v>18.438267017512228</v>
      </c>
      <c r="AE23" s="219">
        <f t="shared" si="8"/>
        <v>16.688523265715379</v>
      </c>
      <c r="AF23" s="219">
        <f t="shared" si="8"/>
        <v>15.104441851089147</v>
      </c>
      <c r="AG23" s="219">
        <f t="shared" si="8"/>
        <v>13.671063574431741</v>
      </c>
      <c r="AH23" s="56"/>
    </row>
    <row r="24" spans="1:34" x14ac:dyDescent="0.55000000000000004">
      <c r="B24" s="20" t="s">
        <v>2</v>
      </c>
      <c r="C24" s="57">
        <f t="shared" si="4"/>
        <v>7142.0743072070636</v>
      </c>
      <c r="D24" s="56">
        <f t="shared" ref="D24:AG24" si="9">D9*D$15</f>
        <v>0</v>
      </c>
      <c r="E24" s="56">
        <f t="shared" si="9"/>
        <v>0</v>
      </c>
      <c r="F24" s="56">
        <f t="shared" si="9"/>
        <v>0</v>
      </c>
      <c r="G24" s="56">
        <f t="shared" si="9"/>
        <v>0</v>
      </c>
      <c r="H24" s="56">
        <f t="shared" si="9"/>
        <v>0</v>
      </c>
      <c r="I24" s="56">
        <f t="shared" si="9"/>
        <v>693.3905086751505</v>
      </c>
      <c r="J24" s="56">
        <f t="shared" si="9"/>
        <v>641.19324791241138</v>
      </c>
      <c r="K24" s="56">
        <f t="shared" si="9"/>
        <v>592.35119974392069</v>
      </c>
      <c r="L24" s="56">
        <f t="shared" si="9"/>
        <v>547.27158775932799</v>
      </c>
      <c r="M24" s="56">
        <f t="shared" si="9"/>
        <v>505.39699822143024</v>
      </c>
      <c r="N24" s="56">
        <f t="shared" si="9"/>
        <v>457.12828338957604</v>
      </c>
      <c r="O24" s="56">
        <f t="shared" si="9"/>
        <v>413.74146451127194</v>
      </c>
      <c r="P24" s="56">
        <f t="shared" si="9"/>
        <v>374.40417499655041</v>
      </c>
      <c r="Q24" s="56">
        <f t="shared" si="9"/>
        <v>339.20654842959556</v>
      </c>
      <c r="R24" s="56">
        <f t="shared" si="9"/>
        <v>307.03234228474815</v>
      </c>
      <c r="S24" s="56">
        <f t="shared" si="9"/>
        <v>277.83027299174512</v>
      </c>
      <c r="T24" s="56">
        <f t="shared" si="9"/>
        <v>251.47041726140714</v>
      </c>
      <c r="U24" s="56">
        <f t="shared" si="9"/>
        <v>227.47219421829129</v>
      </c>
      <c r="V24" s="56">
        <f t="shared" si="9"/>
        <v>205.85018862679524</v>
      </c>
      <c r="W24" s="56">
        <f t="shared" si="9"/>
        <v>186.4831446241364</v>
      </c>
      <c r="X24" s="56">
        <f t="shared" si="9"/>
        <v>168.74841733109716</v>
      </c>
      <c r="Y24" s="56">
        <f t="shared" si="9"/>
        <v>152.69703940199653</v>
      </c>
      <c r="Z24" s="56">
        <f t="shared" si="9"/>
        <v>138.14807950364724</v>
      </c>
      <c r="AA24" s="56">
        <f t="shared" si="9"/>
        <v>125.11190613895076</v>
      </c>
      <c r="AB24" s="56">
        <f t="shared" si="9"/>
        <v>113.22912538693478</v>
      </c>
      <c r="AC24" s="56">
        <f t="shared" si="9"/>
        <v>102.41703057260783</v>
      </c>
      <c r="AD24" s="56">
        <f t="shared" si="9"/>
        <v>92.776045069349124</v>
      </c>
      <c r="AE24" s="56">
        <f t="shared" si="9"/>
        <v>83.943247977025024</v>
      </c>
      <c r="AF24" s="56">
        <f t="shared" si="9"/>
        <v>76.011404262313349</v>
      </c>
      <c r="AG24" s="56">
        <f t="shared" si="9"/>
        <v>68.76943791678508</v>
      </c>
      <c r="AH24" s="56"/>
    </row>
    <row r="25" spans="1:34" s="78" customFormat="1" x14ac:dyDescent="0.55000000000000004">
      <c r="A25"/>
      <c r="B25" s="19" t="str">
        <f>B10</f>
        <v xml:space="preserve">  Increase in Income for Agricultural/MSME HHs</v>
      </c>
      <c r="C25" s="56">
        <f t="shared" si="4"/>
        <v>6556.3623589073904</v>
      </c>
      <c r="D25" s="56">
        <f t="shared" ref="D25:AG25" si="10">D10*D$15</f>
        <v>0</v>
      </c>
      <c r="E25" s="56">
        <f t="shared" si="10"/>
        <v>0</v>
      </c>
      <c r="F25" s="56">
        <f t="shared" si="10"/>
        <v>0</v>
      </c>
      <c r="G25" s="56">
        <f t="shared" si="10"/>
        <v>0</v>
      </c>
      <c r="H25" s="56">
        <f t="shared" si="10"/>
        <v>0</v>
      </c>
      <c r="I25" s="56">
        <f t="shared" si="10"/>
        <v>678.22505539559438</v>
      </c>
      <c r="J25" s="56">
        <f t="shared" si="10"/>
        <v>614.00434972340838</v>
      </c>
      <c r="K25" s="56">
        <f t="shared" si="10"/>
        <v>555.57288297740456</v>
      </c>
      <c r="L25" s="56">
        <f t="shared" si="10"/>
        <v>502.9882387049567</v>
      </c>
      <c r="M25" s="56">
        <f t="shared" si="10"/>
        <v>455.38671085088998</v>
      </c>
      <c r="N25" s="56">
        <f t="shared" si="10"/>
        <v>411.91301051905771</v>
      </c>
      <c r="O25" s="56">
        <f t="shared" si="10"/>
        <v>372.8678007202796</v>
      </c>
      <c r="P25" s="56">
        <f t="shared" si="10"/>
        <v>337.4608283596686</v>
      </c>
      <c r="Q25" s="56">
        <f t="shared" si="10"/>
        <v>305.4196247067494</v>
      </c>
      <c r="R25" s="56">
        <f t="shared" si="10"/>
        <v>276.50750289066286</v>
      </c>
      <c r="S25" s="56">
        <f t="shared" si="10"/>
        <v>250.25635994972907</v>
      </c>
      <c r="T25" s="56">
        <f t="shared" si="10"/>
        <v>226.5655019074286</v>
      </c>
      <c r="U25" s="56">
        <f t="shared" si="10"/>
        <v>204.98088574340619</v>
      </c>
      <c r="V25" s="56">
        <f t="shared" si="10"/>
        <v>185.54118381990426</v>
      </c>
      <c r="W25" s="56">
        <f t="shared" si="10"/>
        <v>167.94389143425795</v>
      </c>
      <c r="X25" s="56">
        <f t="shared" si="10"/>
        <v>152.01416752597092</v>
      </c>
      <c r="Y25" s="56">
        <f t="shared" si="10"/>
        <v>137.59382960161048</v>
      </c>
      <c r="Z25" s="56">
        <f t="shared" si="10"/>
        <v>124.51850349301384</v>
      </c>
      <c r="AA25" s="56">
        <f t="shared" si="10"/>
        <v>112.68448602179824</v>
      </c>
      <c r="AB25" s="56">
        <f t="shared" si="10"/>
        <v>102.01796643325211</v>
      </c>
      <c r="AC25" s="56">
        <f t="shared" si="10"/>
        <v>92.304167100751442</v>
      </c>
      <c r="AD25" s="56">
        <f t="shared" si="10"/>
        <v>83.562952468845197</v>
      </c>
      <c r="AE25" s="56">
        <f t="shared" si="10"/>
        <v>75.63524109491533</v>
      </c>
      <c r="AF25" s="56">
        <f t="shared" si="10"/>
        <v>68.447056428384201</v>
      </c>
      <c r="AG25" s="56">
        <f t="shared" si="10"/>
        <v>61.950161035450478</v>
      </c>
      <c r="AH25" s="81"/>
    </row>
    <row r="26" spans="1:34" x14ac:dyDescent="0.55000000000000004">
      <c r="B26" s="19" t="str">
        <f>B11</f>
        <v xml:space="preserve">  Increase in Income for Those Who Avoided Dropout</v>
      </c>
      <c r="C26" s="56">
        <f t="shared" si="4"/>
        <v>583.28411735145744</v>
      </c>
      <c r="D26" s="56">
        <f t="shared" ref="D26:AG26" si="11">D11*D$15</f>
        <v>0</v>
      </c>
      <c r="E26" s="56">
        <f t="shared" si="11"/>
        <v>0</v>
      </c>
      <c r="F26" s="56">
        <f t="shared" si="11"/>
        <v>0</v>
      </c>
      <c r="G26" s="56">
        <f t="shared" si="11"/>
        <v>0</v>
      </c>
      <c r="H26" s="56">
        <f t="shared" si="11"/>
        <v>0</v>
      </c>
      <c r="I26" s="56">
        <f t="shared" si="11"/>
        <v>14.889070804020127</v>
      </c>
      <c r="J26" s="56">
        <f t="shared" si="11"/>
        <v>26.942128121560231</v>
      </c>
      <c r="K26" s="56">
        <f t="shared" si="11"/>
        <v>36.557986349156558</v>
      </c>
      <c r="L26" s="56">
        <f t="shared" si="11"/>
        <v>44.086625467442978</v>
      </c>
      <c r="M26" s="56">
        <f t="shared" si="11"/>
        <v>49.834641310782885</v>
      </c>
      <c r="N26" s="56">
        <f t="shared" si="11"/>
        <v>45.058446031449265</v>
      </c>
      <c r="O26" s="56">
        <f t="shared" si="11"/>
        <v>40.733639827537843</v>
      </c>
      <c r="P26" s="56">
        <f t="shared" si="11"/>
        <v>36.818325240940275</v>
      </c>
      <c r="Q26" s="56">
        <f t="shared" si="11"/>
        <v>33.675297476469765</v>
      </c>
      <c r="R26" s="56">
        <f t="shared" si="11"/>
        <v>30.425173102677828</v>
      </c>
      <c r="S26" s="56">
        <f t="shared" si="11"/>
        <v>27.484925281830805</v>
      </c>
      <c r="T26" s="56">
        <f t="shared" si="11"/>
        <v>24.825461996670267</v>
      </c>
      <c r="U26" s="56">
        <f t="shared" si="11"/>
        <v>22.420367977288414</v>
      </c>
      <c r="V26" s="56">
        <f t="shared" si="11"/>
        <v>20.24566507689396</v>
      </c>
      <c r="W26" s="56">
        <f t="shared" si="11"/>
        <v>18.482699859523983</v>
      </c>
      <c r="X26" s="56">
        <f t="shared" si="11"/>
        <v>16.683755760166861</v>
      </c>
      <c r="Y26" s="56">
        <f t="shared" si="11"/>
        <v>15.058125831672339</v>
      </c>
      <c r="Z26" s="56">
        <f t="shared" si="11"/>
        <v>13.589322467139016</v>
      </c>
      <c r="AA26" s="56">
        <f t="shared" si="11"/>
        <v>12.391479453318249</v>
      </c>
      <c r="AB26" s="56">
        <f t="shared" si="11"/>
        <v>11.179069075259207</v>
      </c>
      <c r="AC26" s="56">
        <f t="shared" si="11"/>
        <v>10.084211794692585</v>
      </c>
      <c r="AD26" s="56">
        <f t="shared" si="11"/>
        <v>9.1875107458933876</v>
      </c>
      <c r="AE26" s="56">
        <f t="shared" si="11"/>
        <v>8.2851659404931439</v>
      </c>
      <c r="AF26" s="56">
        <f t="shared" si="11"/>
        <v>7.5439541360572289</v>
      </c>
      <c r="AG26" s="56">
        <f t="shared" si="11"/>
        <v>6.801068222520386</v>
      </c>
      <c r="AH26" s="56"/>
    </row>
    <row r="27" spans="1:34" x14ac:dyDescent="0.55000000000000004">
      <c r="B27" s="19" t="str">
        <f>B12</f>
        <v xml:space="preserve">  Value Obtained from Saving Maternal Lives</v>
      </c>
      <c r="C27" s="56">
        <f>SUM(D27:AG27)</f>
        <v>2.427830948216303</v>
      </c>
      <c r="D27" s="56">
        <f>D12*D$15</f>
        <v>0</v>
      </c>
      <c r="E27" s="56">
        <f t="shared" ref="E27:AG27" si="12">E12*E$15</f>
        <v>0</v>
      </c>
      <c r="F27" s="56">
        <f t="shared" si="12"/>
        <v>0</v>
      </c>
      <c r="G27" s="56">
        <f t="shared" si="12"/>
        <v>0</v>
      </c>
      <c r="H27" s="56">
        <f t="shared" si="12"/>
        <v>0</v>
      </c>
      <c r="I27" s="56">
        <f t="shared" si="12"/>
        <v>0.2763824755358637</v>
      </c>
      <c r="J27" s="56">
        <f t="shared" si="12"/>
        <v>0.24677006744273544</v>
      </c>
      <c r="K27" s="56">
        <f t="shared" si="12"/>
        <v>0.2203304173595852</v>
      </c>
      <c r="L27" s="56">
        <f t="shared" si="12"/>
        <v>0.19672358692820108</v>
      </c>
      <c r="M27" s="56">
        <f t="shared" si="12"/>
        <v>0.17564605975732236</v>
      </c>
      <c r="N27" s="56">
        <f t="shared" si="12"/>
        <v>0.1568268390690378</v>
      </c>
      <c r="O27" s="56">
        <f t="shared" si="12"/>
        <v>0.14002396345449808</v>
      </c>
      <c r="P27" s="56">
        <f t="shared" si="12"/>
        <v>0.12502139594151609</v>
      </c>
      <c r="Q27" s="56">
        <f t="shared" si="12"/>
        <v>0.11162624637635365</v>
      </c>
      <c r="R27" s="56">
        <f t="shared" si="12"/>
        <v>9.9666291407458626E-2</v>
      </c>
      <c r="S27" s="56">
        <f t="shared" si="12"/>
        <v>8.8987760185230899E-2</v>
      </c>
      <c r="T27" s="56">
        <f t="shared" si="12"/>
        <v>7.9453357308241879E-2</v>
      </c>
      <c r="U27" s="56">
        <f t="shared" si="12"/>
        <v>7.0940497596644517E-2</v>
      </c>
      <c r="V27" s="56">
        <f t="shared" si="12"/>
        <v>6.3339729997004032E-2</v>
      </c>
      <c r="W27" s="56">
        <f t="shared" si="12"/>
        <v>5.6553330354467884E-2</v>
      </c>
      <c r="X27" s="56">
        <f t="shared" si="12"/>
        <v>5.0494044959346319E-2</v>
      </c>
      <c r="Y27" s="56">
        <f t="shared" si="12"/>
        <v>4.5083968713702065E-2</v>
      </c>
      <c r="Z27" s="56">
        <f t="shared" si="12"/>
        <v>4.0253543494376848E-2</v>
      </c>
      <c r="AA27" s="56">
        <f t="shared" si="12"/>
        <v>3.5940663834265037E-2</v>
      </c>
      <c r="AB27" s="56">
        <f t="shared" si="12"/>
        <v>3.2089878423450922E-2</v>
      </c>
      <c r="AC27" s="56">
        <f t="shared" si="12"/>
        <v>2.8651677163795467E-2</v>
      </c>
      <c r="AD27" s="56">
        <f t="shared" si="12"/>
        <v>2.5581854610531665E-2</v>
      </c>
      <c r="AE27" s="56">
        <f t="shared" si="12"/>
        <v>2.284094161654613E-2</v>
      </c>
      <c r="AF27" s="56">
        <f t="shared" si="12"/>
        <v>2.0393697871916184E-2</v>
      </c>
      <c r="AG27" s="56">
        <f t="shared" si="12"/>
        <v>1.8208658814210875E-2</v>
      </c>
      <c r="AH27" s="56"/>
    </row>
    <row r="28" spans="1:34" x14ac:dyDescent="0.55000000000000004">
      <c r="B28" s="21" t="s">
        <v>3</v>
      </c>
      <c r="C28" s="58">
        <f>SUM(D28:AG28)</f>
        <v>2531.2602835951425</v>
      </c>
      <c r="D28" s="50">
        <f>D13*D$15</f>
        <v>-147.81769276748355</v>
      </c>
      <c r="E28" s="50">
        <f t="shared" ref="E28:AF28" si="13">E13*E$15</f>
        <v>-329.95020707027578</v>
      </c>
      <c r="F28" s="50">
        <f t="shared" si="13"/>
        <v>-883.79519750966688</v>
      </c>
      <c r="G28" s="50">
        <f t="shared" si="13"/>
        <v>-1183.6542823790187</v>
      </c>
      <c r="H28" s="50">
        <f t="shared" si="13"/>
        <v>-258.33724417002378</v>
      </c>
      <c r="I28" s="50">
        <f t="shared" si="13"/>
        <v>501.76980464523552</v>
      </c>
      <c r="J28" s="50">
        <f t="shared" si="13"/>
        <v>468.26902273570278</v>
      </c>
      <c r="K28" s="50">
        <f t="shared" si="13"/>
        <v>436.29964306124367</v>
      </c>
      <c r="L28" s="50">
        <f t="shared" si="13"/>
        <v>406.439259189577</v>
      </c>
      <c r="M28" s="50">
        <f t="shared" si="13"/>
        <v>378.29353555530042</v>
      </c>
      <c r="N28" s="50">
        <f t="shared" si="13"/>
        <v>342.41627776232377</v>
      </c>
      <c r="O28" s="50">
        <f t="shared" si="13"/>
        <v>310.20835134372658</v>
      </c>
      <c r="P28" s="50">
        <f t="shared" si="13"/>
        <v>280.95672770340167</v>
      </c>
      <c r="Q28" s="50">
        <f t="shared" si="13"/>
        <v>254.85903806758617</v>
      </c>
      <c r="R28" s="50">
        <f t="shared" si="13"/>
        <v>230.89588457525736</v>
      </c>
      <c r="S28" s="50">
        <f t="shared" si="13"/>
        <v>209.10324204841362</v>
      </c>
      <c r="T28" s="50">
        <f t="shared" si="13"/>
        <v>189.43290995281637</v>
      </c>
      <c r="U28" s="50">
        <f t="shared" si="13"/>
        <v>171.47141693593386</v>
      </c>
      <c r="V28" s="50">
        <f t="shared" si="13"/>
        <v>155.29732651896191</v>
      </c>
      <c r="W28" s="50">
        <f t="shared" si="13"/>
        <v>140.84484966136233</v>
      </c>
      <c r="X28" s="50">
        <f t="shared" si="13"/>
        <v>127.5459988702079</v>
      </c>
      <c r="Y28" s="50">
        <f t="shared" si="13"/>
        <v>115.49859778439703</v>
      </c>
      <c r="Z28" s="50">
        <f t="shared" si="13"/>
        <v>104.56390691292611</v>
      </c>
      <c r="AA28" s="50">
        <f t="shared" si="13"/>
        <v>94.790343098598044</v>
      </c>
      <c r="AB28" s="50">
        <f t="shared" si="13"/>
        <v>85.851578416343088</v>
      </c>
      <c r="AC28" s="50">
        <f t="shared" si="13"/>
        <v>77.697373081400954</v>
      </c>
      <c r="AD28" s="50">
        <f t="shared" si="13"/>
        <v>70.456025616342018</v>
      </c>
      <c r="AE28" s="50">
        <f t="shared" si="13"/>
        <v>63.788874322474932</v>
      </c>
      <c r="AF28" s="50">
        <f t="shared" si="13"/>
        <v>57.812453135478918</v>
      </c>
      <c r="AG28" s="50">
        <f>AG13*AG$15</f>
        <v>60.252466496598934</v>
      </c>
      <c r="AH28" s="50"/>
    </row>
    <row r="30" spans="1:34" ht="20" x14ac:dyDescent="0.6">
      <c r="B30" s="108" t="s">
        <v>37</v>
      </c>
      <c r="C30" s="109">
        <f>NPV('1.Params_8.Sensitivity'!D13,'7a.EAnalysis'!D13:AG13)</f>
        <v>2531.2602835951411</v>
      </c>
      <c r="D30" s="136" t="s">
        <v>103</v>
      </c>
      <c r="E30" s="54">
        <f>C24-C19</f>
        <v>2531.2602835951411</v>
      </c>
    </row>
    <row r="31" spans="1:34" ht="20" x14ac:dyDescent="0.6">
      <c r="B31" s="108" t="s">
        <v>39</v>
      </c>
      <c r="C31" s="111">
        <f>NPV('1.Params_8.Sensitivity'!D13,'7a.EAnalysis'!D9:AG9)/NPV('1.Params_8.Sensitivity'!D13,'7a.EAnalysis'!D4:AF4, (AG4+AH7))</f>
        <v>1.5489833835484563</v>
      </c>
      <c r="E31" s="87">
        <f>C24/C19</f>
        <v>1.5489833835484554</v>
      </c>
    </row>
    <row r="32" spans="1:34" ht="20" x14ac:dyDescent="0.6">
      <c r="B32" s="108" t="s">
        <v>38</v>
      </c>
      <c r="C32" s="110">
        <f>IFERROR(IRR(D13:AG13), "        n/a")</f>
        <v>0.20389887128333317</v>
      </c>
    </row>
  </sheetData>
  <sheetProtection algorithmName="SHA-512" hashValue="1CdPU79RPncROqA3bkBwoqImMLG5jGJnDS+UBTKqueprMEcRRv75OEIWcak1yXQoUPJGmf2SA7Gaxg02tryiLw==" saltValue="jMZeb46qGen8uF0xUEGeQA==" spinCount="100000" sheet="1" objects="1" scenarios="1" autoFilter="0"/>
  <mergeCells count="8">
    <mergeCell ref="AH2:AH3"/>
    <mergeCell ref="AH17:AH18"/>
    <mergeCell ref="B2:B3"/>
    <mergeCell ref="C2:C3"/>
    <mergeCell ref="D2:AG2"/>
    <mergeCell ref="B17:B18"/>
    <mergeCell ref="C17:C18"/>
    <mergeCell ref="D17:AG17"/>
  </mergeCells>
  <phoneticPr fontId="3"/>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C687D-B56D-4AC1-B1EC-3C321B62C018}">
  <sheetPr codeName="Sheet11">
    <tabColor theme="5" tint="0.59999389629810485"/>
  </sheetPr>
  <dimension ref="A1:AB39"/>
  <sheetViews>
    <sheetView zoomScale="70" zoomScaleNormal="70" workbookViewId="0">
      <pane xSplit="1" ySplit="1" topLeftCell="B2" activePane="bottomRight" state="frozen"/>
      <selection pane="topRight" activeCell="B1" sqref="B1"/>
      <selection pane="bottomLeft" activeCell="A2" sqref="A2"/>
      <selection pane="bottomRight" activeCell="H10" sqref="H10:H34"/>
    </sheetView>
  </sheetViews>
  <sheetFormatPr defaultRowHeight="18" x14ac:dyDescent="0.55000000000000004"/>
  <cols>
    <col min="1" max="1" width="2.58203125" customWidth="1"/>
    <col min="2" max="2" width="6.58203125" customWidth="1"/>
    <col min="3" max="3" width="4.58203125" customWidth="1"/>
    <col min="4" max="13" width="12.75" customWidth="1"/>
    <col min="14" max="14" width="1.58203125" customWidth="1"/>
    <col min="15" max="15" width="12.75" customWidth="1"/>
    <col min="16" max="16" width="1.58203125" customWidth="1"/>
    <col min="17" max="17" width="6.58203125" customWidth="1"/>
    <col min="18" max="18" width="4.58203125" customWidth="1"/>
    <col min="19" max="28" width="12.75" customWidth="1"/>
  </cols>
  <sheetData>
    <row r="1" spans="1:28" s="3" customFormat="1" ht="20" x14ac:dyDescent="0.6">
      <c r="A1" s="5" t="str">
        <f>"Cash Flows of Economic Costs and Benefits ("&amp;MID('0.Contents'!A1,20,(LEN('0.Contents'!A1)-20))&amp;")----Vertical format"</f>
        <v>Cash Flows of Economic Costs and Benefits (Rural Infrastructure Development)----Vertical format</v>
      </c>
    </row>
    <row r="2" spans="1:28" x14ac:dyDescent="0.55000000000000004">
      <c r="B2" s="400" t="str">
        <f>'7a.EAnalysis'!B2</f>
        <v>At Constant Prices/Before Discounting (lakh)</v>
      </c>
      <c r="C2" s="400"/>
      <c r="D2" s="400"/>
      <c r="E2" s="400"/>
      <c r="F2" s="400"/>
      <c r="G2" s="400"/>
      <c r="H2" s="400"/>
      <c r="I2" s="400"/>
      <c r="J2" s="400"/>
      <c r="K2" s="400"/>
      <c r="L2" s="400"/>
      <c r="M2" s="400"/>
      <c r="Q2" s="368" t="str">
        <f>'7a.EAnalysis'!B17</f>
        <v>Present Values (lakh)</v>
      </c>
      <c r="R2" s="368"/>
      <c r="S2" s="368"/>
      <c r="T2" s="368"/>
      <c r="U2" s="368"/>
      <c r="V2" s="368"/>
      <c r="W2" s="368"/>
      <c r="X2" s="368"/>
      <c r="Y2" s="368"/>
      <c r="Z2" s="368"/>
      <c r="AA2" s="368"/>
      <c r="AB2" s="368"/>
    </row>
    <row r="3" spans="1:28" s="243" customFormat="1" ht="90" x14ac:dyDescent="0.55000000000000004">
      <c r="B3" s="8"/>
      <c r="C3" s="8"/>
      <c r="D3" s="244" t="s">
        <v>1</v>
      </c>
      <c r="E3" s="245" t="s">
        <v>225</v>
      </c>
      <c r="F3" s="245" t="s">
        <v>226</v>
      </c>
      <c r="G3" s="245" t="s">
        <v>227</v>
      </c>
      <c r="H3" s="245" t="s">
        <v>228</v>
      </c>
      <c r="I3" s="244" t="s">
        <v>2</v>
      </c>
      <c r="J3" s="245" t="s">
        <v>213</v>
      </c>
      <c r="K3" s="245" t="s">
        <v>212</v>
      </c>
      <c r="L3" s="245" t="s">
        <v>214</v>
      </c>
      <c r="M3" s="244" t="s">
        <v>3</v>
      </c>
      <c r="N3" s="256"/>
      <c r="O3" s="256" t="str">
        <f>'7a.EAnalysis'!B15</f>
        <v>Economic Discount Rate (12%)</v>
      </c>
      <c r="P3" s="256"/>
      <c r="Q3" s="8"/>
      <c r="R3" s="8"/>
      <c r="S3" s="244" t="s">
        <v>1</v>
      </c>
      <c r="T3" s="245" t="s">
        <v>225</v>
      </c>
      <c r="U3" s="245" t="s">
        <v>226</v>
      </c>
      <c r="V3" s="245" t="s">
        <v>227</v>
      </c>
      <c r="W3" s="245" t="s">
        <v>228</v>
      </c>
      <c r="X3" s="244" t="s">
        <v>2</v>
      </c>
      <c r="Y3" s="245" t="str">
        <f>J3</f>
        <v xml:space="preserve">  Increase in Income for Agricultural/MSME HHs</v>
      </c>
      <c r="Z3" s="245" t="str">
        <f>K3</f>
        <v xml:space="preserve">  Increase in Income for Those Who Avoided Dropout</v>
      </c>
      <c r="AA3" s="245" t="str">
        <f>L3</f>
        <v xml:space="preserve">  Value Obtained from Saving Maternal Lives</v>
      </c>
      <c r="AB3" s="244" t="s">
        <v>3</v>
      </c>
    </row>
    <row r="4" spans="1:28" x14ac:dyDescent="0.55000000000000004">
      <c r="B4" s="409" t="s">
        <v>24</v>
      </c>
      <c r="C4" s="409"/>
      <c r="D4" s="62">
        <f>'7a.EAnalysis'!C$4</f>
        <v>14709.79729643163</v>
      </c>
      <c r="E4" s="53">
        <f>'7a.EAnalysis'!C$5</f>
        <v>4138.8953974895394</v>
      </c>
      <c r="F4" s="55">
        <f>'7a.EAnalysis'!C$6</f>
        <v>2069.4476987447688</v>
      </c>
      <c r="G4" s="53">
        <f>'7a.EAnalysis'!C$7</f>
        <v>-237.194107494988</v>
      </c>
      <c r="H4" s="55">
        <f>'7a.EAnalysis'!C$8</f>
        <v>8738.6483076923087</v>
      </c>
      <c r="I4" s="62">
        <f>'7a.EAnalysis'!C$9</f>
        <v>43658.974124285734</v>
      </c>
      <c r="J4" s="53">
        <f>'7a.EAnalysis'!C$10</f>
        <v>39601.493999999992</v>
      </c>
      <c r="K4" s="53">
        <f>'7a.EAnalysis'!C$11</f>
        <v>4043.8418742857148</v>
      </c>
      <c r="L4" s="53">
        <f>'7a.EAnalysis'!C$12</f>
        <v>13.638249999999996</v>
      </c>
      <c r="M4" s="62">
        <f>'7a.EAnalysis'!C$13</f>
        <v>28949.176827854084</v>
      </c>
      <c r="N4" s="241"/>
      <c r="O4" s="259" t="str">
        <f>'7a.EAnalysis'!C$15</f>
        <v>DF</v>
      </c>
      <c r="P4" s="241"/>
      <c r="Q4" s="409" t="s">
        <v>24</v>
      </c>
      <c r="R4" s="409"/>
      <c r="S4" s="62">
        <f>'7a.EAnalysis'!C$19</f>
        <v>4610.8140236119225</v>
      </c>
      <c r="T4" s="53">
        <f>'7a.EAnalysis'!C$20</f>
        <v>2803.5546238964689</v>
      </c>
      <c r="U4" s="53">
        <f>'7a.EAnalysis'!C$21</f>
        <v>368.39544433688781</v>
      </c>
      <c r="V4" s="53">
        <f>'7a.EAnalysis'!C$22</f>
        <v>-7.9170468647324537</v>
      </c>
      <c r="W4" s="53">
        <f>'7a.EAnalysis'!C$23</f>
        <v>1446.7810022432986</v>
      </c>
      <c r="X4" s="62">
        <f>'7a.EAnalysis'!C$24</f>
        <v>7142.0743072070636</v>
      </c>
      <c r="Y4" s="53">
        <f>'7a.EAnalysis'!C$25</f>
        <v>6556.3623589073904</v>
      </c>
      <c r="Z4" s="53">
        <f>'7a.EAnalysis'!C$26</f>
        <v>583.28411735145744</v>
      </c>
      <c r="AA4" s="53">
        <f>'7a.EAnalysis'!C$27</f>
        <v>2.427830948216303</v>
      </c>
      <c r="AB4" s="62">
        <f>'7a.EAnalysis'!C$28</f>
        <v>2531.2602835951425</v>
      </c>
    </row>
    <row r="5" spans="1:28" x14ac:dyDescent="0.55000000000000004">
      <c r="B5" s="408" t="s">
        <v>0</v>
      </c>
      <c r="C5" s="240">
        <v>1</v>
      </c>
      <c r="D5" s="81">
        <f>'7a.EAnalysis'!D$4</f>
        <v>165.55581589958157</v>
      </c>
      <c r="E5" s="203">
        <f>'7a.EAnalysis'!D$5</f>
        <v>165.55581589958157</v>
      </c>
      <c r="F5" s="56">
        <f>'7a.EAnalysis'!D$6</f>
        <v>0</v>
      </c>
      <c r="G5" s="316" t="s">
        <v>31</v>
      </c>
      <c r="H5" s="56">
        <f>'7a.EAnalysis'!D$8</f>
        <v>0</v>
      </c>
      <c r="I5" s="81">
        <f>'7a.EAnalysis'!D$9</f>
        <v>0</v>
      </c>
      <c r="J5" s="56">
        <f>'7a.EAnalysis'!D$10</f>
        <v>0</v>
      </c>
      <c r="K5" s="56">
        <f>'7a.EAnalysis'!D$11</f>
        <v>0</v>
      </c>
      <c r="L5" s="56">
        <f>'7a.EAnalysis'!D$12</f>
        <v>0</v>
      </c>
      <c r="M5" s="81">
        <f>'7a.EAnalysis'!D$13</f>
        <v>-165.55581589958157</v>
      </c>
      <c r="O5" s="258">
        <f>'7a.EAnalysis'!D$15</f>
        <v>0.89285714285714279</v>
      </c>
      <c r="Q5" s="410" t="s">
        <v>0</v>
      </c>
      <c r="R5" s="240">
        <v>1</v>
      </c>
      <c r="S5" s="81">
        <f>'7a.EAnalysis'!CD$19</f>
        <v>0</v>
      </c>
      <c r="T5" s="56">
        <f>'7a.EAnalysis'!D$20</f>
        <v>147.81769276748355</v>
      </c>
      <c r="U5" s="56">
        <f>'7a.EAnalysis'!D$21</f>
        <v>0</v>
      </c>
      <c r="V5" s="316" t="s">
        <v>31</v>
      </c>
      <c r="W5" s="56">
        <f>'7a.EAnalysis'!D$23</f>
        <v>0</v>
      </c>
      <c r="X5" s="81">
        <f>'7a.EAnalysis'!D$24</f>
        <v>0</v>
      </c>
      <c r="Y5" s="56">
        <f>'7a.EAnalysis'!D$25</f>
        <v>0</v>
      </c>
      <c r="Z5" s="56">
        <f>'7a.EAnalysis'!D$26</f>
        <v>0</v>
      </c>
      <c r="AA5" s="56">
        <f>'7a.EAnalysis'!D$27</f>
        <v>0</v>
      </c>
      <c r="AB5" s="81">
        <f>'7a.EAnalysis'!D$28</f>
        <v>-147.81769276748355</v>
      </c>
    </row>
    <row r="6" spans="1:28" x14ac:dyDescent="0.55000000000000004">
      <c r="B6" s="408"/>
      <c r="C6" s="240">
        <v>2</v>
      </c>
      <c r="D6" s="81">
        <f>'7a.EAnalysis'!E$4</f>
        <v>413.88953974895395</v>
      </c>
      <c r="E6" s="203">
        <f>'7a.EAnalysis'!E$5</f>
        <v>413.88953974895395</v>
      </c>
      <c r="F6" s="56">
        <f>'7a.EAnalysis'!E$6</f>
        <v>0</v>
      </c>
      <c r="G6" s="316" t="s">
        <v>31</v>
      </c>
      <c r="H6" s="56">
        <f>'7a.EAnalysis'!E$8</f>
        <v>0</v>
      </c>
      <c r="I6" s="81">
        <f>'7a.EAnalysis'!E$9</f>
        <v>0</v>
      </c>
      <c r="J6" s="56">
        <f>'7a.EAnalysis'!E$10</f>
        <v>0</v>
      </c>
      <c r="K6" s="56">
        <f>'7a.EAnalysis'!E$11</f>
        <v>0</v>
      </c>
      <c r="L6" s="56">
        <f>'7a.EAnalysis'!E$12</f>
        <v>0</v>
      </c>
      <c r="M6" s="81">
        <f>'7a.EAnalysis'!E$13</f>
        <v>-413.88953974895395</v>
      </c>
      <c r="O6" s="258">
        <f>'7a.EAnalysis'!E$15</f>
        <v>0.79719387755102034</v>
      </c>
      <c r="Q6" s="408"/>
      <c r="R6" s="240">
        <v>2</v>
      </c>
      <c r="S6" s="81">
        <f>'7a.EAnalysis'!E$19</f>
        <v>329.95020707027578</v>
      </c>
      <c r="T6" s="56">
        <f>'7a.EAnalysis'!E$20</f>
        <v>329.95020707027578</v>
      </c>
      <c r="U6" s="56">
        <f>'7a.EAnalysis'!E$21</f>
        <v>0</v>
      </c>
      <c r="V6" s="316" t="s">
        <v>31</v>
      </c>
      <c r="W6" s="56">
        <f>'7a.EAnalysis'!E$23</f>
        <v>0</v>
      </c>
      <c r="X6" s="81">
        <f>'7a.EAnalysis'!E$24</f>
        <v>0</v>
      </c>
      <c r="Y6" s="56">
        <f>'7a.EAnalysis'!E$25</f>
        <v>0</v>
      </c>
      <c r="Z6" s="56">
        <f>'7a.EAnalysis'!E$26</f>
        <v>0</v>
      </c>
      <c r="AA6" s="56">
        <f>'7a.EAnalysis'!E$27</f>
        <v>0</v>
      </c>
      <c r="AB6" s="81">
        <f>'7a.EAnalysis'!E$28</f>
        <v>-329.95020707027578</v>
      </c>
    </row>
    <row r="7" spans="1:28" x14ac:dyDescent="0.55000000000000004">
      <c r="B7" s="408"/>
      <c r="C7" s="240">
        <v>3</v>
      </c>
      <c r="D7" s="81">
        <f>'7a.EAnalysis'!F$4</f>
        <v>1241.6686192468617</v>
      </c>
      <c r="E7" s="203">
        <f>'7a.EAnalysis'!F$5</f>
        <v>1241.6686192468617</v>
      </c>
      <c r="F7" s="56">
        <f>'7a.EAnalysis'!F$6</f>
        <v>0</v>
      </c>
      <c r="G7" s="316" t="s">
        <v>31</v>
      </c>
      <c r="H7" s="56">
        <f>'7a.EAnalysis'!F$8</f>
        <v>0</v>
      </c>
      <c r="I7" s="81">
        <f>'7a.EAnalysis'!F$9</f>
        <v>0</v>
      </c>
      <c r="J7" s="56">
        <f>'7a.EAnalysis'!F$10</f>
        <v>0</v>
      </c>
      <c r="K7" s="56">
        <f>'7a.EAnalysis'!F$11</f>
        <v>0</v>
      </c>
      <c r="L7" s="56">
        <f>'7a.EAnalysis'!F$12</f>
        <v>0</v>
      </c>
      <c r="M7" s="81">
        <f>'7a.EAnalysis'!F$13</f>
        <v>-1241.6686192468617</v>
      </c>
      <c r="O7" s="258">
        <f>'7a.EAnalysis'!F$15</f>
        <v>0.71178024781341087</v>
      </c>
      <c r="Q7" s="408"/>
      <c r="R7" s="240">
        <v>3</v>
      </c>
      <c r="S7" s="81">
        <f>'7a.EAnalysis'!F$19</f>
        <v>883.79519750966688</v>
      </c>
      <c r="T7" s="56">
        <f>'7a.EAnalysis'!F$20</f>
        <v>883.79519750966688</v>
      </c>
      <c r="U7" s="56">
        <f>'7a.EAnalysis'!F$21</f>
        <v>0</v>
      </c>
      <c r="V7" s="316" t="s">
        <v>31</v>
      </c>
      <c r="W7" s="56">
        <f>'7a.EAnalysis'!F$23</f>
        <v>0</v>
      </c>
      <c r="X7" s="81">
        <f>'7a.EAnalysis'!F$24</f>
        <v>0</v>
      </c>
      <c r="Y7" s="56">
        <f>'7a.EAnalysis'!F$25</f>
        <v>0</v>
      </c>
      <c r="Z7" s="56">
        <f>'7a.EAnalysis'!F$26</f>
        <v>0</v>
      </c>
      <c r="AA7" s="56">
        <f>'7a.EAnalysis'!F$27</f>
        <v>0</v>
      </c>
      <c r="AB7" s="81">
        <f>'7a.EAnalysis'!F$28</f>
        <v>-883.79519750966688</v>
      </c>
    </row>
    <row r="8" spans="1:28" x14ac:dyDescent="0.55000000000000004">
      <c r="B8" s="408"/>
      <c r="C8" s="240">
        <v>4</v>
      </c>
      <c r="D8" s="81">
        <f>'7a.EAnalysis'!G$4</f>
        <v>1862.5029288702931</v>
      </c>
      <c r="E8" s="203">
        <f>'7a.EAnalysis'!G$5</f>
        <v>1862.5029288702931</v>
      </c>
      <c r="F8" s="56">
        <f>'7a.EAnalysis'!G$6</f>
        <v>0</v>
      </c>
      <c r="G8" s="316" t="s">
        <v>31</v>
      </c>
      <c r="H8" s="56">
        <f>'7a.EAnalysis'!G$8</f>
        <v>0</v>
      </c>
      <c r="I8" s="81">
        <f>'7a.EAnalysis'!G$9</f>
        <v>0</v>
      </c>
      <c r="J8" s="56">
        <f>'7a.EAnalysis'!G$10</f>
        <v>0</v>
      </c>
      <c r="K8" s="56">
        <f>'7a.EAnalysis'!G$11</f>
        <v>0</v>
      </c>
      <c r="L8" s="56">
        <f>'7a.EAnalysis'!G$12</f>
        <v>0</v>
      </c>
      <c r="M8" s="81">
        <f>'7a.EAnalysis'!G$13</f>
        <v>-1862.5029288702931</v>
      </c>
      <c r="O8" s="258">
        <f>'7a.EAnalysis'!G$15</f>
        <v>0.63551807840483121</v>
      </c>
      <c r="Q8" s="408"/>
      <c r="R8" s="240">
        <v>4</v>
      </c>
      <c r="S8" s="81">
        <f>'7a.EAnalysis'!G$19</f>
        <v>1183.6542823790187</v>
      </c>
      <c r="T8" s="56">
        <f>'7a.EAnalysis'!G$20</f>
        <v>1183.6542823790187</v>
      </c>
      <c r="U8" s="56">
        <f>'7a.EAnalysis'!G$21</f>
        <v>0</v>
      </c>
      <c r="V8" s="316" t="s">
        <v>31</v>
      </c>
      <c r="W8" s="56">
        <f>'7a.EAnalysis'!G$23</f>
        <v>0</v>
      </c>
      <c r="X8" s="81">
        <f>'7a.EAnalysis'!G$24</f>
        <v>0</v>
      </c>
      <c r="Y8" s="56">
        <f>'7a.EAnalysis'!G$25</f>
        <v>0</v>
      </c>
      <c r="Z8" s="56">
        <f>'7a.EAnalysis'!G$26</f>
        <v>0</v>
      </c>
      <c r="AA8" s="56">
        <f>'7a.EAnalysis'!G$27</f>
        <v>0</v>
      </c>
      <c r="AB8" s="81">
        <f>'7a.EAnalysis'!G$28</f>
        <v>-1183.6542823790187</v>
      </c>
    </row>
    <row r="9" spans="1:28" x14ac:dyDescent="0.55000000000000004">
      <c r="B9" s="408"/>
      <c r="C9" s="240">
        <v>5</v>
      </c>
      <c r="D9" s="81">
        <f>'7a.EAnalysis'!H$4</f>
        <v>455.27849372384929</v>
      </c>
      <c r="E9" s="203">
        <f>'7a.EAnalysis'!H$5</f>
        <v>455.27849372384929</v>
      </c>
      <c r="F9" s="56">
        <f>'7a.EAnalysis'!H$6</f>
        <v>0</v>
      </c>
      <c r="G9" s="316" t="s">
        <v>31</v>
      </c>
      <c r="H9" s="56">
        <f>'7a.EAnalysis'!H$8</f>
        <v>0</v>
      </c>
      <c r="I9" s="81">
        <f>'7a.EAnalysis'!H$9</f>
        <v>0</v>
      </c>
      <c r="J9" s="56">
        <f>'7a.EAnalysis'!H$10</f>
        <v>0</v>
      </c>
      <c r="K9" s="56">
        <f>'7a.EAnalysis'!H$11</f>
        <v>0</v>
      </c>
      <c r="L9" s="56">
        <f>'7a.EAnalysis'!H$12</f>
        <v>0</v>
      </c>
      <c r="M9" s="81">
        <f>'7a.EAnalysis'!H$13</f>
        <v>-455.27849372384929</v>
      </c>
      <c r="O9" s="258">
        <f>'7a.EAnalysis'!H$15</f>
        <v>0.56742685571859919</v>
      </c>
      <c r="Q9" s="408"/>
      <c r="R9" s="240">
        <v>5</v>
      </c>
      <c r="S9" s="81">
        <f>'7a.EAnalysis'!H$19</f>
        <v>258.33724417002378</v>
      </c>
      <c r="T9" s="56">
        <f>'7a.EAnalysis'!H$20</f>
        <v>258.33724417002378</v>
      </c>
      <c r="U9" s="56">
        <f>'7a.EAnalysis'!H$21</f>
        <v>0</v>
      </c>
      <c r="V9" s="316" t="s">
        <v>31</v>
      </c>
      <c r="W9" s="56">
        <f>'7a.EAnalysis'!H$23</f>
        <v>0</v>
      </c>
      <c r="X9" s="81">
        <f>'7a.EAnalysis'!H$24</f>
        <v>0</v>
      </c>
      <c r="Y9" s="56">
        <f>'7a.EAnalysis'!H$25</f>
        <v>0</v>
      </c>
      <c r="Z9" s="56">
        <f>'7a.EAnalysis'!H$26</f>
        <v>0</v>
      </c>
      <c r="AA9" s="56">
        <f>'7a.EAnalysis'!H$27</f>
        <v>0</v>
      </c>
      <c r="AB9" s="81">
        <f>'7a.EAnalysis'!H$28</f>
        <v>-258.33724417002378</v>
      </c>
    </row>
    <row r="10" spans="1:28" x14ac:dyDescent="0.55000000000000004">
      <c r="B10" s="408"/>
      <c r="C10" s="240">
        <v>6</v>
      </c>
      <c r="D10" s="81">
        <f>'7a.EAnalysis'!I$4</f>
        <v>378.22529256517544</v>
      </c>
      <c r="E10" s="319" t="str">
        <f>'7a.EAnalysis'!I$5</f>
        <v>--</v>
      </c>
      <c r="F10" s="204">
        <f>'7a.EAnalysis'!I$6</f>
        <v>82.777907949790787</v>
      </c>
      <c r="G10" s="316" t="s">
        <v>31</v>
      </c>
      <c r="H10" s="323">
        <f>'7a.EAnalysis'!I$8</f>
        <v>295.44738461538464</v>
      </c>
      <c r="I10" s="81">
        <f>'7a.EAnalysis'!I$9</f>
        <v>1368.6299157142857</v>
      </c>
      <c r="J10" s="257">
        <f>'7a.EAnalysis'!I$10</f>
        <v>1338.6959999999999</v>
      </c>
      <c r="K10" s="205">
        <f>'7a.EAnalysis'!I$11</f>
        <v>29.388385714285718</v>
      </c>
      <c r="L10" s="206">
        <f>'7a.EAnalysis'!I$12</f>
        <v>0.54552999999999996</v>
      </c>
      <c r="M10" s="81">
        <f>'7a.EAnalysis'!I$13</f>
        <v>990.40462314911031</v>
      </c>
      <c r="O10" s="258">
        <f>'7a.EAnalysis'!I$15</f>
        <v>0.50663112117732068</v>
      </c>
      <c r="Q10" s="408"/>
      <c r="R10" s="240">
        <v>6</v>
      </c>
      <c r="S10" s="81">
        <f>'7a.EAnalysis'!I$19</f>
        <v>191.62070402991498</v>
      </c>
      <c r="T10" s="318" t="str">
        <f>'7a.EAnalysis'!I$20</f>
        <v>--</v>
      </c>
      <c r="U10" s="56">
        <f>'7a.EAnalysis'!I$21</f>
        <v>41.937864313315551</v>
      </c>
      <c r="V10" s="316" t="s">
        <v>31</v>
      </c>
      <c r="W10" s="56">
        <f>'7a.EAnalysis'!I$23</f>
        <v>149.6828397165994</v>
      </c>
      <c r="X10" s="81">
        <f>'7a.EAnalysis'!I$24</f>
        <v>693.3905086751505</v>
      </c>
      <c r="Y10" s="56">
        <f>'7a.EAnalysis'!I$25</f>
        <v>678.22505539559438</v>
      </c>
      <c r="Z10" s="56">
        <f>'7a.EAnalysis'!I$26</f>
        <v>14.889070804020127</v>
      </c>
      <c r="AA10" s="56">
        <f>'7a.EAnalysis'!I$27</f>
        <v>0.2763824755358637</v>
      </c>
      <c r="AB10" s="81">
        <f>'7a.EAnalysis'!I$28</f>
        <v>501.76980464523552</v>
      </c>
    </row>
    <row r="11" spans="1:28" x14ac:dyDescent="0.55000000000000004">
      <c r="B11" s="408"/>
      <c r="C11" s="240">
        <v>7</v>
      </c>
      <c r="D11" s="81">
        <f>'7a.EAnalysis'!J$4</f>
        <v>382.28036948825235</v>
      </c>
      <c r="E11" s="319" t="str">
        <f>'7a.EAnalysis'!J$5</f>
        <v>--</v>
      </c>
      <c r="F11" s="204">
        <f>'7a.EAnalysis'!J$6</f>
        <v>82.777907949790787</v>
      </c>
      <c r="G11" s="316" t="s">
        <v>31</v>
      </c>
      <c r="H11" s="323">
        <f>'7a.EAnalysis'!J$8</f>
        <v>299.50246153846155</v>
      </c>
      <c r="I11" s="81">
        <f>'7a.EAnalysis'!J$9</f>
        <v>1417.4739917142858</v>
      </c>
      <c r="J11" s="257">
        <f>'7a.EAnalysis'!J$10</f>
        <v>1357.3679999999999</v>
      </c>
      <c r="K11" s="205">
        <f>'7a.EAnalysis'!J$11</f>
        <v>59.560461714285729</v>
      </c>
      <c r="L11" s="206">
        <f>'7a.EAnalysis'!J$12</f>
        <v>0.54552999999999996</v>
      </c>
      <c r="M11" s="81">
        <f>'7a.EAnalysis'!J$13</f>
        <v>1035.1936222260335</v>
      </c>
      <c r="O11" s="258">
        <f>'7a.EAnalysis'!J$15</f>
        <v>0.45234921533689343</v>
      </c>
      <c r="Q11" s="408"/>
      <c r="R11" s="240">
        <v>7</v>
      </c>
      <c r="S11" s="81">
        <f>'7a.EAnalysis'!J$19</f>
        <v>172.92422517670863</v>
      </c>
      <c r="T11" s="318" t="str">
        <f>'7a.EAnalysis'!J$20</f>
        <v>--</v>
      </c>
      <c r="U11" s="56">
        <f>'7a.EAnalysis'!J$21</f>
        <v>37.444521708317453</v>
      </c>
      <c r="V11" s="316" t="s">
        <v>31</v>
      </c>
      <c r="W11" s="56">
        <f>'7a.EAnalysis'!J$23</f>
        <v>135.47970346839119</v>
      </c>
      <c r="X11" s="81">
        <f>'7a.EAnalysis'!J$24</f>
        <v>641.19324791241138</v>
      </c>
      <c r="Y11" s="56">
        <f>'7a.EAnalysis'!J$25</f>
        <v>614.00434972340838</v>
      </c>
      <c r="Z11" s="56">
        <f>'7a.EAnalysis'!J$26</f>
        <v>26.942128121560231</v>
      </c>
      <c r="AA11" s="56">
        <f>'7a.EAnalysis'!J$27</f>
        <v>0.24677006744273544</v>
      </c>
      <c r="AB11" s="81">
        <f>'7a.EAnalysis'!J$28</f>
        <v>468.26902273570278</v>
      </c>
    </row>
    <row r="12" spans="1:28" x14ac:dyDescent="0.55000000000000004">
      <c r="B12" s="408"/>
      <c r="C12" s="240">
        <v>8</v>
      </c>
      <c r="D12" s="81">
        <f>'7a.EAnalysis'!K$4</f>
        <v>386.37790794979082</v>
      </c>
      <c r="E12" s="319" t="str">
        <f>'7a.EAnalysis'!K$5</f>
        <v>--</v>
      </c>
      <c r="F12" s="204">
        <f>'7a.EAnalysis'!K$6</f>
        <v>82.777907949790787</v>
      </c>
      <c r="G12" s="316" t="s">
        <v>31</v>
      </c>
      <c r="H12" s="323">
        <f>'7a.EAnalysis'!K$8</f>
        <v>303.60000000000002</v>
      </c>
      <c r="I12" s="81">
        <f>'7a.EAnalysis'!K$9</f>
        <v>1466.639758</v>
      </c>
      <c r="J12" s="257">
        <f>'7a.EAnalysis'!K$10</f>
        <v>1375.578</v>
      </c>
      <c r="K12" s="205">
        <f>'7a.EAnalysis'!K$11</f>
        <v>90.516228000000012</v>
      </c>
      <c r="L12" s="206">
        <f>'7a.EAnalysis'!K$12</f>
        <v>0.54552999999999996</v>
      </c>
      <c r="M12" s="81">
        <f>'7a.EAnalysis'!K$13</f>
        <v>1080.2618500502092</v>
      </c>
      <c r="O12" s="258">
        <f>'7a.EAnalysis'!K$15</f>
        <v>0.4038832279793691</v>
      </c>
      <c r="Q12" s="408"/>
      <c r="R12" s="240">
        <v>8</v>
      </c>
      <c r="S12" s="81">
        <f>'7a.EAnalysis'!K$19</f>
        <v>156.05155668267705</v>
      </c>
      <c r="T12" s="318" t="str">
        <f>'7a.EAnalysis'!K$20</f>
        <v>--</v>
      </c>
      <c r="U12" s="56">
        <f>'7a.EAnalysis'!K$21</f>
        <v>33.432608668140581</v>
      </c>
      <c r="V12" s="316" t="s">
        <v>31</v>
      </c>
      <c r="W12" s="56">
        <f>'7a.EAnalysis'!K$23</f>
        <v>122.61894801453647</v>
      </c>
      <c r="X12" s="81">
        <f>'7a.EAnalysis'!K$24</f>
        <v>592.35119974392069</v>
      </c>
      <c r="Y12" s="56">
        <f>'7a.EAnalysis'!K$25</f>
        <v>555.57288297740456</v>
      </c>
      <c r="Z12" s="56">
        <f>'7a.EAnalysis'!K$26</f>
        <v>36.557986349156558</v>
      </c>
      <c r="AA12" s="56">
        <f>'7a.EAnalysis'!K$27</f>
        <v>0.2203304173595852</v>
      </c>
      <c r="AB12" s="81">
        <f>'7a.EAnalysis'!K$28</f>
        <v>436.29964306124367</v>
      </c>
    </row>
    <row r="13" spans="1:28" x14ac:dyDescent="0.55000000000000004">
      <c r="B13" s="408"/>
      <c r="C13" s="240">
        <v>9</v>
      </c>
      <c r="D13" s="81">
        <f>'7a.EAnalysis'!L$4</f>
        <v>390.53913871902154</v>
      </c>
      <c r="E13" s="319" t="str">
        <f>'7a.EAnalysis'!L$5</f>
        <v>--</v>
      </c>
      <c r="F13" s="204">
        <f>'7a.EAnalysis'!L$6</f>
        <v>82.777907949790787</v>
      </c>
      <c r="G13" s="316" t="s">
        <v>31</v>
      </c>
      <c r="H13" s="323">
        <f>'7a.EAnalysis'!L$8</f>
        <v>307.76123076923074</v>
      </c>
      <c r="I13" s="81">
        <f>'7a.EAnalysis'!L$9</f>
        <v>1517.6272145714288</v>
      </c>
      <c r="J13" s="257">
        <f>'7a.EAnalysis'!L$10</f>
        <v>1394.826</v>
      </c>
      <c r="K13" s="205">
        <f>'7a.EAnalysis'!L$11</f>
        <v>122.25568457142859</v>
      </c>
      <c r="L13" s="206">
        <f>'7a.EAnalysis'!L$12</f>
        <v>0.54552999999999996</v>
      </c>
      <c r="M13" s="81">
        <f>'7a.EAnalysis'!L$13</f>
        <v>1127.0880758524072</v>
      </c>
      <c r="O13" s="258">
        <f>'7a.EAnalysis'!L$15</f>
        <v>0.36061002498157957</v>
      </c>
      <c r="Q13" s="408"/>
      <c r="R13" s="240">
        <v>9</v>
      </c>
      <c r="S13" s="81">
        <f>'7a.EAnalysis'!L$19</f>
        <v>140.83232856975093</v>
      </c>
      <c r="T13" s="318" t="str">
        <f>'7a.EAnalysis'!L$20</f>
        <v>--</v>
      </c>
      <c r="U13" s="56">
        <f>'7a.EAnalysis'!L$21</f>
        <v>29.85054345369695</v>
      </c>
      <c r="V13" s="316" t="s">
        <v>31</v>
      </c>
      <c r="W13" s="56">
        <f>'7a.EAnalysis'!L$23</f>
        <v>110.98178511605397</v>
      </c>
      <c r="X13" s="81">
        <f>'7a.EAnalysis'!L$24</f>
        <v>547.27158775932799</v>
      </c>
      <c r="Y13" s="56">
        <f>'7a.EAnalysis'!L$25</f>
        <v>502.9882387049567</v>
      </c>
      <c r="Z13" s="56">
        <f>'7a.EAnalysis'!L$26</f>
        <v>44.086625467442978</v>
      </c>
      <c r="AA13" s="56">
        <f>'7a.EAnalysis'!L$27</f>
        <v>0.19672358692820108</v>
      </c>
      <c r="AB13" s="81">
        <f>'7a.EAnalysis'!L$28</f>
        <v>406.439259189577</v>
      </c>
    </row>
    <row r="14" spans="1:28" x14ac:dyDescent="0.55000000000000004">
      <c r="B14" s="408"/>
      <c r="C14" s="240">
        <v>10</v>
      </c>
      <c r="D14" s="81">
        <f>'7a.EAnalysis'!M$4</f>
        <v>394.76406179594466</v>
      </c>
      <c r="E14" s="319" t="str">
        <f>'7a.EAnalysis'!M$5</f>
        <v>--</v>
      </c>
      <c r="F14" s="204">
        <f>'7a.EAnalysis'!M$6</f>
        <v>82.777907949790787</v>
      </c>
      <c r="G14" s="316" t="s">
        <v>31</v>
      </c>
      <c r="H14" s="323">
        <f>'7a.EAnalysis'!M$8</f>
        <v>311.98615384615385</v>
      </c>
      <c r="I14" s="81">
        <f>'7a.EAnalysis'!M$9</f>
        <v>1569.6863614285717</v>
      </c>
      <c r="J14" s="257">
        <f>'7a.EAnalysis'!M$10</f>
        <v>1414.3620000000001</v>
      </c>
      <c r="K14" s="205">
        <f>'7a.EAnalysis'!M$11</f>
        <v>154.77883142857144</v>
      </c>
      <c r="L14" s="206">
        <f>'7a.EAnalysis'!M$12</f>
        <v>0.54552999999999996</v>
      </c>
      <c r="M14" s="81">
        <f>'7a.EAnalysis'!M$13</f>
        <v>1174.9222996326271</v>
      </c>
      <c r="O14" s="258">
        <f>'7a.EAnalysis'!M$15</f>
        <v>0.32197323659069599</v>
      </c>
      <c r="Q14" s="408"/>
      <c r="R14" s="240">
        <v>10</v>
      </c>
      <c r="S14" s="81">
        <f>'7a.EAnalysis'!M$19</f>
        <v>127.10346266612981</v>
      </c>
      <c r="T14" s="318" t="str">
        <f>'7a.EAnalysis'!M$20</f>
        <v>--</v>
      </c>
      <c r="U14" s="56">
        <f>'7a.EAnalysis'!M$21</f>
        <v>26.652270940800843</v>
      </c>
      <c r="V14" s="316" t="s">
        <v>31</v>
      </c>
      <c r="W14" s="56">
        <f>'7a.EAnalysis'!M$23</f>
        <v>100.45119172532897</v>
      </c>
      <c r="X14" s="81">
        <f>'7a.EAnalysis'!M$24</f>
        <v>505.39699822143024</v>
      </c>
      <c r="Y14" s="56">
        <f>'7a.EAnalysis'!M$25</f>
        <v>455.38671085088998</v>
      </c>
      <c r="Z14" s="56">
        <f>'7a.EAnalysis'!M$26</f>
        <v>49.834641310782885</v>
      </c>
      <c r="AA14" s="56">
        <f>'7a.EAnalysis'!M$27</f>
        <v>0.17564605975732236</v>
      </c>
      <c r="AB14" s="81">
        <f>'7a.EAnalysis'!M$28</f>
        <v>378.29353555530042</v>
      </c>
    </row>
    <row r="15" spans="1:28" x14ac:dyDescent="0.55000000000000004">
      <c r="B15" s="408"/>
      <c r="C15" s="240">
        <v>11</v>
      </c>
      <c r="D15" s="81">
        <f>'7a.EAnalysis'!N$4</f>
        <v>399.03144641132923</v>
      </c>
      <c r="E15" s="319" t="str">
        <f>'7a.EAnalysis'!N$5</f>
        <v>--</v>
      </c>
      <c r="F15" s="204">
        <f>'7a.EAnalysis'!N$6</f>
        <v>82.777907949790787</v>
      </c>
      <c r="G15" s="316" t="s">
        <v>31</v>
      </c>
      <c r="H15" s="323">
        <f>'7a.EAnalysis'!N$8</f>
        <v>316.25353846153843</v>
      </c>
      <c r="I15" s="81">
        <f>'7a.EAnalysis'!N$9</f>
        <v>1590.1435871428573</v>
      </c>
      <c r="J15" s="257">
        <f>'7a.EAnalysis'!N$10</f>
        <v>1432.8600000000001</v>
      </c>
      <c r="K15" s="205">
        <f>'7a.EAnalysis'!N$11</f>
        <v>156.73805714285717</v>
      </c>
      <c r="L15" s="206">
        <f>'7a.EAnalysis'!N$12</f>
        <v>0.54552999999999996</v>
      </c>
      <c r="M15" s="81">
        <f>'7a.EAnalysis'!N$13</f>
        <v>1191.1121407315281</v>
      </c>
      <c r="O15" s="258">
        <f>'7a.EAnalysis'!N$15</f>
        <v>0.28747610409883567</v>
      </c>
      <c r="Q15" s="408"/>
      <c r="R15" s="240">
        <v>11</v>
      </c>
      <c r="S15" s="81">
        <f>'7a.EAnalysis'!N$19</f>
        <v>114.71200562725225</v>
      </c>
      <c r="T15" s="318" t="str">
        <f>'7a.EAnalysis'!N$20</f>
        <v>--</v>
      </c>
      <c r="U15" s="56">
        <f>'7a.EAnalysis'!N$21</f>
        <v>23.796670482857895</v>
      </c>
      <c r="V15" s="316" t="s">
        <v>31</v>
      </c>
      <c r="W15" s="56">
        <f>'7a.EAnalysis'!N$23</f>
        <v>90.915335144394348</v>
      </c>
      <c r="X15" s="81">
        <f>'7a.EAnalysis'!N$24</f>
        <v>457.12828338957604</v>
      </c>
      <c r="Y15" s="56">
        <f>'7a.EAnalysis'!N$25</f>
        <v>411.91301051905771</v>
      </c>
      <c r="Z15" s="56">
        <f>'7a.EAnalysis'!N$26</f>
        <v>45.058446031449265</v>
      </c>
      <c r="AA15" s="56">
        <f>'7a.EAnalysis'!N$27</f>
        <v>0.1568268390690378</v>
      </c>
      <c r="AB15" s="81">
        <f>'7a.EAnalysis'!N$28</f>
        <v>342.41627776232377</v>
      </c>
    </row>
    <row r="16" spans="1:28" x14ac:dyDescent="0.55000000000000004">
      <c r="B16" s="408"/>
      <c r="C16" s="240">
        <v>12</v>
      </c>
      <c r="D16" s="81">
        <f>'7a.EAnalysis'!O$4</f>
        <v>403.36252333440621</v>
      </c>
      <c r="E16" s="319" t="str">
        <f>'7a.EAnalysis'!O$5</f>
        <v>--</v>
      </c>
      <c r="F16" s="204">
        <f>'7a.EAnalysis'!O$6</f>
        <v>82.777907949790787</v>
      </c>
      <c r="G16" s="316" t="s">
        <v>31</v>
      </c>
      <c r="H16" s="323">
        <f>'7a.EAnalysis'!O$8</f>
        <v>320.5846153846154</v>
      </c>
      <c r="I16" s="81">
        <f>'7a.EAnalysis'!O$9</f>
        <v>1611.9268128571432</v>
      </c>
      <c r="J16" s="257">
        <f>'7a.EAnalysis'!O$10</f>
        <v>1452.6840000000002</v>
      </c>
      <c r="K16" s="205">
        <f>'7a.EAnalysis'!O$11</f>
        <v>158.69728285714288</v>
      </c>
      <c r="L16" s="206">
        <f>'7a.EAnalysis'!O$12</f>
        <v>0.54552999999999996</v>
      </c>
      <c r="M16" s="81">
        <f>'7a.EAnalysis'!O$13</f>
        <v>1208.564289522737</v>
      </c>
      <c r="O16" s="258">
        <f>'7a.EAnalysis'!O$15</f>
        <v>0.25667509294538904</v>
      </c>
      <c r="Q16" s="408"/>
      <c r="R16" s="240">
        <v>12</v>
      </c>
      <c r="S16" s="81">
        <f>'7a.EAnalysis'!O$19</f>
        <v>103.53311316754537</v>
      </c>
      <c r="T16" s="318" t="str">
        <f>'7a.EAnalysis'!O$20</f>
        <v>--</v>
      </c>
      <c r="U16" s="56">
        <f>'7a.EAnalysis'!O$21</f>
        <v>21.247027216837409</v>
      </c>
      <c r="V16" s="316" t="s">
        <v>31</v>
      </c>
      <c r="W16" s="56">
        <f>'7a.EAnalysis'!O$23</f>
        <v>82.286085950707957</v>
      </c>
      <c r="X16" s="81">
        <f>'7a.EAnalysis'!O$24</f>
        <v>413.74146451127194</v>
      </c>
      <c r="Y16" s="56">
        <f>'7a.EAnalysis'!O$25</f>
        <v>372.8678007202796</v>
      </c>
      <c r="Z16" s="56">
        <f>'7a.EAnalysis'!O$26</f>
        <v>40.733639827537843</v>
      </c>
      <c r="AA16" s="56">
        <f>'7a.EAnalysis'!O$27</f>
        <v>0.14002396345449808</v>
      </c>
      <c r="AB16" s="81">
        <f>'7a.EAnalysis'!O$28</f>
        <v>310.20835134372658</v>
      </c>
    </row>
    <row r="17" spans="2:28" x14ac:dyDescent="0.55000000000000004">
      <c r="B17" s="408"/>
      <c r="C17" s="240">
        <v>13</v>
      </c>
      <c r="D17" s="81">
        <f>'7a.EAnalysis'!P$4</f>
        <v>407.75729256517542</v>
      </c>
      <c r="E17" s="319" t="str">
        <f>'7a.EAnalysis'!P$5</f>
        <v>--</v>
      </c>
      <c r="F17" s="204">
        <f>'7a.EAnalysis'!P$6</f>
        <v>82.777907949790787</v>
      </c>
      <c r="G17" s="316" t="s">
        <v>31</v>
      </c>
      <c r="H17" s="323">
        <f>'7a.EAnalysis'!P$8</f>
        <v>324.97938461538462</v>
      </c>
      <c r="I17" s="81">
        <f>'7a.EAnalysis'!P$9</f>
        <v>1633.7100385714286</v>
      </c>
      <c r="J17" s="257">
        <f>'7a.EAnalysis'!P$10</f>
        <v>1472.508</v>
      </c>
      <c r="K17" s="205">
        <f>'7a.EAnalysis'!P$11</f>
        <v>160.65650857142859</v>
      </c>
      <c r="L17" s="206">
        <f>'7a.EAnalysis'!P$12</f>
        <v>0.54552999999999996</v>
      </c>
      <c r="M17" s="81">
        <f>'7a.EAnalysis'!P$13</f>
        <v>1225.9527460062532</v>
      </c>
      <c r="O17" s="258">
        <f>'7a.EAnalysis'!P$15</f>
        <v>0.22917419012981158</v>
      </c>
      <c r="Q17" s="408"/>
      <c r="R17" s="240">
        <v>13</v>
      </c>
      <c r="S17" s="81">
        <f>'7a.EAnalysis'!P$19</f>
        <v>93.447447293148713</v>
      </c>
      <c r="T17" s="318" t="str">
        <f>'7a.EAnalysis'!P$20</f>
        <v>--</v>
      </c>
      <c r="U17" s="56">
        <f>'7a.EAnalysis'!P$21</f>
        <v>18.970560015033396</v>
      </c>
      <c r="V17" s="316" t="s">
        <v>31</v>
      </c>
      <c r="W17" s="56">
        <f>'7a.EAnalysis'!P$23</f>
        <v>74.476887278115314</v>
      </c>
      <c r="X17" s="81">
        <f>'7a.EAnalysis'!P$24</f>
        <v>374.40417499655041</v>
      </c>
      <c r="Y17" s="56">
        <f>'7a.EAnalysis'!P$25</f>
        <v>337.4608283596686</v>
      </c>
      <c r="Z17" s="56">
        <f>'7a.EAnalysis'!O$26</f>
        <v>40.733639827537843</v>
      </c>
      <c r="AA17" s="56">
        <f>'7a.EAnalysis'!P$27</f>
        <v>0.12502139594151609</v>
      </c>
      <c r="AB17" s="81">
        <f>'7a.EAnalysis'!P$28</f>
        <v>280.95672770340167</v>
      </c>
    </row>
    <row r="18" spans="2:28" x14ac:dyDescent="0.55000000000000004">
      <c r="B18" s="408"/>
      <c r="C18" s="240">
        <v>14</v>
      </c>
      <c r="D18" s="81">
        <f>'7a.EAnalysis'!Q$4</f>
        <v>412.21575410363693</v>
      </c>
      <c r="E18" s="319" t="str">
        <f>'7a.EAnalysis'!Q$5</f>
        <v>--</v>
      </c>
      <c r="F18" s="204">
        <f>'7a.EAnalysis'!Q$6</f>
        <v>82.777907949790787</v>
      </c>
      <c r="G18" s="316" t="s">
        <v>31</v>
      </c>
      <c r="H18" s="323">
        <f>'7a.EAnalysis'!Q$8</f>
        <v>329.43784615384612</v>
      </c>
      <c r="I18" s="81">
        <f>'7a.EAnalysis'!Q$9</f>
        <v>1657.7404900000004</v>
      </c>
      <c r="J18" s="257">
        <f>'7a.EAnalysis'!Q$10</f>
        <v>1492.6200000000001</v>
      </c>
      <c r="K18" s="205">
        <f>'7a.EAnalysis'!Q$11</f>
        <v>164.57496000000003</v>
      </c>
      <c r="L18" s="206">
        <f>'7a.EAnalysis'!Q$12</f>
        <v>0.54552999999999996</v>
      </c>
      <c r="M18" s="81">
        <f>'7a.EAnalysis'!Q$13</f>
        <v>1245.5247358963634</v>
      </c>
      <c r="O18" s="258">
        <f>'7a.EAnalysis'!Q$15</f>
        <v>0.20461981261590317</v>
      </c>
      <c r="Q18" s="408"/>
      <c r="R18" s="240">
        <v>14</v>
      </c>
      <c r="S18" s="81">
        <f>'7a.EAnalysis'!Q$19</f>
        <v>84.347510362009402</v>
      </c>
      <c r="T18" s="318" t="str">
        <f>'7a.EAnalysis'!Q$20</f>
        <v>--</v>
      </c>
      <c r="U18" s="56">
        <f>'7a.EAnalysis'!Q$21</f>
        <v>16.938000013422673</v>
      </c>
      <c r="V18" s="316" t="s">
        <v>31</v>
      </c>
      <c r="W18" s="56">
        <f>'7a.EAnalysis'!Q$23</f>
        <v>67.409510348586736</v>
      </c>
      <c r="X18" s="81">
        <f>'7a.EAnalysis'!Q$24</f>
        <v>339.20654842959556</v>
      </c>
      <c r="Y18" s="56">
        <f>'7a.EAnalysis'!Q$25</f>
        <v>305.4196247067494</v>
      </c>
      <c r="Z18" s="56">
        <f>'7a.EAnalysis'!Q$26</f>
        <v>33.675297476469765</v>
      </c>
      <c r="AA18" s="56">
        <f>'7a.EAnalysis'!Q$27</f>
        <v>0.11162624637635365</v>
      </c>
      <c r="AB18" s="81">
        <f>'7a.EAnalysis'!Q$28</f>
        <v>254.85903806758617</v>
      </c>
    </row>
    <row r="19" spans="2:28" x14ac:dyDescent="0.55000000000000004">
      <c r="B19" s="408"/>
      <c r="C19" s="240">
        <v>15</v>
      </c>
      <c r="D19" s="81">
        <f>'7a.EAnalysis'!R$4</f>
        <v>416.73790794979078</v>
      </c>
      <c r="E19" s="319" t="str">
        <f>'7a.EAnalysis'!R$5</f>
        <v>--</v>
      </c>
      <c r="F19" s="204">
        <f>'7a.EAnalysis'!R$6</f>
        <v>82.777907949790787</v>
      </c>
      <c r="G19" s="316" t="s">
        <v>31</v>
      </c>
      <c r="H19" s="323">
        <f>'7a.EAnalysis'!R$8</f>
        <v>333.96</v>
      </c>
      <c r="I19" s="81">
        <f>'7a.EAnalysis'!R$9</f>
        <v>1680.5617157142858</v>
      </c>
      <c r="J19" s="257">
        <f>'7a.EAnalysis'!R$10</f>
        <v>1513.482</v>
      </c>
      <c r="K19" s="205">
        <f>'7a.EAnalysis'!R$11</f>
        <v>166.53418571428574</v>
      </c>
      <c r="L19" s="206">
        <f>'7a.EAnalysis'!R$12</f>
        <v>0.54552999999999996</v>
      </c>
      <c r="M19" s="81">
        <f>'7a.EAnalysis'!R$13</f>
        <v>1263.8238077644951</v>
      </c>
      <c r="O19" s="258">
        <f>'7a.EAnalysis'!R$15</f>
        <v>0.18269626126419927</v>
      </c>
      <c r="Q19" s="408"/>
      <c r="R19" s="240">
        <v>15</v>
      </c>
      <c r="S19" s="81">
        <f>'7a.EAnalysis'!R$19</f>
        <v>76.136457709490799</v>
      </c>
      <c r="T19" s="318" t="str">
        <f>'7a.EAnalysis'!R$20</f>
        <v>--</v>
      </c>
      <c r="U19" s="56">
        <f>'7a.EAnalysis'!R$21</f>
        <v>15.123214297698816</v>
      </c>
      <c r="V19" s="316" t="s">
        <v>31</v>
      </c>
      <c r="W19" s="56">
        <f>'7a.EAnalysis'!R$23</f>
        <v>61.013243411791983</v>
      </c>
      <c r="X19" s="81">
        <f>'7a.EAnalysis'!R$24</f>
        <v>307.03234228474815</v>
      </c>
      <c r="Y19" s="56">
        <f>'7a.EAnalysis'!R$25</f>
        <v>276.50750289066286</v>
      </c>
      <c r="Z19" s="56">
        <f>'7a.EAnalysis'!R$26</f>
        <v>30.425173102677828</v>
      </c>
      <c r="AA19" s="56">
        <f>'7a.EAnalysis'!R$27</f>
        <v>9.9666291407458626E-2</v>
      </c>
      <c r="AB19" s="81">
        <f>'7a.EAnalysis'!R$28</f>
        <v>230.89588457525736</v>
      </c>
    </row>
    <row r="20" spans="2:28" x14ac:dyDescent="0.55000000000000004">
      <c r="B20" s="408"/>
      <c r="C20" s="240">
        <v>16</v>
      </c>
      <c r="D20" s="81">
        <f>'7a.EAnalysis'!S$4</f>
        <v>421.32375410363693</v>
      </c>
      <c r="E20" s="319" t="str">
        <f>'7a.EAnalysis'!S$5</f>
        <v>--</v>
      </c>
      <c r="F20" s="204">
        <f>'7a.EAnalysis'!S$6</f>
        <v>82.777907949790787</v>
      </c>
      <c r="G20" s="316" t="s">
        <v>31</v>
      </c>
      <c r="H20" s="323">
        <f>'7a.EAnalysis'!S$8</f>
        <v>338.54584615384613</v>
      </c>
      <c r="I20" s="81">
        <f>'7a.EAnalysis'!S$9</f>
        <v>1703.2089414285717</v>
      </c>
      <c r="J20" s="257">
        <f>'7a.EAnalysis'!S$10</f>
        <v>1534.17</v>
      </c>
      <c r="K20" s="205">
        <f>'7a.EAnalysis'!S$11</f>
        <v>168.49341142857145</v>
      </c>
      <c r="L20" s="206">
        <f>'7a.EAnalysis'!S$12</f>
        <v>0.54552999999999996</v>
      </c>
      <c r="M20" s="81">
        <f>'7a.EAnalysis'!S$13</f>
        <v>1281.8851873249348</v>
      </c>
      <c r="O20" s="258">
        <f>'7a.EAnalysis'!S$15</f>
        <v>0.16312166184303503</v>
      </c>
      <c r="Q20" s="408"/>
      <c r="R20" s="240">
        <v>16</v>
      </c>
      <c r="S20" s="81">
        <f>'7a.EAnalysis'!S$19</f>
        <v>68.727030943331513</v>
      </c>
      <c r="T20" s="318" t="str">
        <f>'7a.EAnalysis'!S$20</f>
        <v>--</v>
      </c>
      <c r="U20" s="56">
        <f>'7a.EAnalysis'!S$21</f>
        <v>13.502869908659655</v>
      </c>
      <c r="V20" s="316" t="s">
        <v>31</v>
      </c>
      <c r="W20" s="56">
        <f>'7a.EAnalysis'!S$23</f>
        <v>55.224161034671852</v>
      </c>
      <c r="X20" s="81">
        <f>'7a.EAnalysis'!S$24</f>
        <v>277.83027299174512</v>
      </c>
      <c r="Y20" s="56">
        <f>'7a.EAnalysis'!S$25</f>
        <v>250.25635994972907</v>
      </c>
      <c r="Z20" s="56">
        <f>'7a.EAnalysis'!S$26</f>
        <v>27.484925281830805</v>
      </c>
      <c r="AA20" s="56">
        <f>'7a.EAnalysis'!S$27</f>
        <v>8.8987760185230899E-2</v>
      </c>
      <c r="AB20" s="81">
        <f>'7a.EAnalysis'!S$28</f>
        <v>209.10324204841362</v>
      </c>
    </row>
    <row r="21" spans="2:28" x14ac:dyDescent="0.55000000000000004">
      <c r="B21" s="408"/>
      <c r="C21" s="240">
        <v>17</v>
      </c>
      <c r="D21" s="81">
        <f>'7a.EAnalysis'!T$4</f>
        <v>425.95206179594464</v>
      </c>
      <c r="E21" s="319" t="str">
        <f>'7a.EAnalysis'!T$5</f>
        <v>--</v>
      </c>
      <c r="F21" s="204">
        <f>'7a.EAnalysis'!T$6</f>
        <v>82.777907949790787</v>
      </c>
      <c r="G21" s="316" t="s">
        <v>31</v>
      </c>
      <c r="H21" s="323">
        <f>'7a.EAnalysis'!T$8</f>
        <v>343.17415384615384</v>
      </c>
      <c r="I21" s="81">
        <f>'7a.EAnalysis'!T$9</f>
        <v>1726.6061671428572</v>
      </c>
      <c r="J21" s="257">
        <f>'7a.EAnalysis'!T$10</f>
        <v>1555.6079999999999</v>
      </c>
      <c r="K21" s="205">
        <f>'7a.EAnalysis'!T$11</f>
        <v>170.45263714285716</v>
      </c>
      <c r="L21" s="206">
        <f>'7a.EAnalysis'!T$12</f>
        <v>0.54552999999999996</v>
      </c>
      <c r="M21" s="81">
        <f>'7a.EAnalysis'!T$13</f>
        <v>1300.6541053469125</v>
      </c>
      <c r="O21" s="258">
        <f>'7a.EAnalysis'!T$15</f>
        <v>0.14564434093128129</v>
      </c>
      <c r="Q21" s="408"/>
      <c r="R21" s="240">
        <v>17</v>
      </c>
      <c r="S21" s="81">
        <f>'7a.EAnalysis'!T$19</f>
        <v>62.037507308590754</v>
      </c>
      <c r="T21" s="318" t="str">
        <f>'7a.EAnalysis'!T$20</f>
        <v>--</v>
      </c>
      <c r="U21" s="56">
        <f>'7a.EAnalysis'!T$21</f>
        <v>12.056133847017549</v>
      </c>
      <c r="V21" s="316" t="s">
        <v>31</v>
      </c>
      <c r="W21" s="56">
        <f>'7a.EAnalysis'!T$23</f>
        <v>49.981373461573206</v>
      </c>
      <c r="X21" s="81">
        <f>'7a.EAnalysis'!T$24</f>
        <v>251.47041726140714</v>
      </c>
      <c r="Y21" s="56">
        <f>'7a.EAnalysis'!T$25</f>
        <v>226.5655019074286</v>
      </c>
      <c r="Z21" s="56">
        <f>'7a.EAnalysis'!T$26</f>
        <v>24.825461996670267</v>
      </c>
      <c r="AA21" s="56">
        <f>'7a.EAnalysis'!T$27</f>
        <v>7.9453357308241879E-2</v>
      </c>
      <c r="AB21" s="81">
        <f>'7a.EAnalysis'!T$28</f>
        <v>189.43290995281637</v>
      </c>
    </row>
    <row r="22" spans="2:28" x14ac:dyDescent="0.55000000000000004">
      <c r="B22" s="408"/>
      <c r="C22" s="240">
        <v>18</v>
      </c>
      <c r="D22" s="81">
        <f>'7a.EAnalysis'!U$4</f>
        <v>430.64406179594471</v>
      </c>
      <c r="E22" s="319" t="str">
        <f>'7a.EAnalysis'!U$5</f>
        <v>--</v>
      </c>
      <c r="F22" s="204">
        <f>'7a.EAnalysis'!U$6</f>
        <v>82.777907949790787</v>
      </c>
      <c r="G22" s="316" t="s">
        <v>31</v>
      </c>
      <c r="H22" s="323">
        <f>'7a.EAnalysis'!U$8</f>
        <v>347.86615384615391</v>
      </c>
      <c r="I22" s="81">
        <f>'7a.EAnalysis'!U$9</f>
        <v>1749.2533928571431</v>
      </c>
      <c r="J22" s="257">
        <f>'7a.EAnalysis'!U$10</f>
        <v>1576.296</v>
      </c>
      <c r="K22" s="205">
        <f>'7a.EAnalysis'!U$11</f>
        <v>172.41186285714286</v>
      </c>
      <c r="L22" s="206">
        <f>'7a.EAnalysis'!U$12</f>
        <v>0.54552999999999996</v>
      </c>
      <c r="M22" s="81">
        <f>'7a.EAnalysis'!U$13</f>
        <v>1318.6093310611984</v>
      </c>
      <c r="O22" s="258">
        <f>'7a.EAnalysis'!U$15</f>
        <v>0.13003959011721541</v>
      </c>
      <c r="Q22" s="408"/>
      <c r="R22" s="240">
        <v>18</v>
      </c>
      <c r="S22" s="81">
        <f>'7a.EAnalysis'!U$19</f>
        <v>56.000777282357433</v>
      </c>
      <c r="T22" s="318" t="str">
        <f>'7a.EAnalysis'!U$20</f>
        <v>--</v>
      </c>
      <c r="U22" s="56">
        <f>'7a.EAnalysis'!U$21</f>
        <v>10.764405220551382</v>
      </c>
      <c r="V22" s="316" t="s">
        <v>31</v>
      </c>
      <c r="W22" s="56">
        <f>'7a.EAnalysis'!U$23</f>
        <v>45.236372061806051</v>
      </c>
      <c r="X22" s="81">
        <f>'7a.EAnalysis'!U$24</f>
        <v>227.47219421829129</v>
      </c>
      <c r="Y22" s="56">
        <f>'7a.EAnalysis'!U$25</f>
        <v>204.98088574340619</v>
      </c>
      <c r="Z22" s="56">
        <f>'7a.EAnalysis'!U$26</f>
        <v>22.420367977288414</v>
      </c>
      <c r="AA22" s="56">
        <f>'7a.EAnalysis'!U$27</f>
        <v>7.0940497596644517E-2</v>
      </c>
      <c r="AB22" s="81">
        <f>'7a.EAnalysis'!U$28</f>
        <v>171.47141693593386</v>
      </c>
    </row>
    <row r="23" spans="2:28" x14ac:dyDescent="0.55000000000000004">
      <c r="B23" s="408"/>
      <c r="C23" s="240">
        <v>19</v>
      </c>
      <c r="D23" s="81">
        <f>'7a.EAnalysis'!V$4</f>
        <v>435.39975410363695</v>
      </c>
      <c r="E23" s="319" t="str">
        <f>'7a.EAnalysis'!V$5</f>
        <v>--</v>
      </c>
      <c r="F23" s="204">
        <f>'7a.EAnalysis'!V$6</f>
        <v>82.777907949790787</v>
      </c>
      <c r="G23" s="316" t="s">
        <v>31</v>
      </c>
      <c r="H23" s="323">
        <f>'7a.EAnalysis'!V$8</f>
        <v>352.62184615384615</v>
      </c>
      <c r="I23" s="81">
        <f>'7a.EAnalysis'!V$9</f>
        <v>1772.9386185714286</v>
      </c>
      <c r="J23" s="257">
        <f>'7a.EAnalysis'!V$10</f>
        <v>1598.0219999999999</v>
      </c>
      <c r="K23" s="205">
        <f>'7a.EAnalysis'!V$11</f>
        <v>174.37108857142857</v>
      </c>
      <c r="L23" s="206">
        <f>'7a.EAnalysis'!V$12</f>
        <v>0.54552999999999996</v>
      </c>
      <c r="M23" s="81">
        <f>'7a.EAnalysis'!V$13</f>
        <v>1337.5388644677917</v>
      </c>
      <c r="O23" s="258">
        <f>'7a.EAnalysis'!V$15</f>
        <v>0.1161067768903709</v>
      </c>
      <c r="Q23" s="408"/>
      <c r="R23" s="240">
        <v>19</v>
      </c>
      <c r="S23" s="81">
        <f>'7a.EAnalysis'!V$19</f>
        <v>50.552862107833327</v>
      </c>
      <c r="T23" s="318" t="str">
        <f>'7a.EAnalysis'!V$20</f>
        <v>--</v>
      </c>
      <c r="U23" s="56">
        <f>'7a.EAnalysis'!V$21</f>
        <v>9.6110760897780185</v>
      </c>
      <c r="V23" s="316" t="s">
        <v>31</v>
      </c>
      <c r="W23" s="56">
        <f>'7a.EAnalysis'!V$23</f>
        <v>40.941786018055303</v>
      </c>
      <c r="X23" s="81">
        <f>'7a.EAnalysis'!V$24</f>
        <v>205.85018862679524</v>
      </c>
      <c r="Y23" s="56">
        <f>'7a.EAnalysis'!V$25</f>
        <v>185.54118381990426</v>
      </c>
      <c r="Z23" s="56">
        <f>'7a.EAnalysis'!V$26</f>
        <v>20.24566507689396</v>
      </c>
      <c r="AA23" s="56">
        <f>'7a.EAnalysis'!V$27</f>
        <v>6.3339729997004032E-2</v>
      </c>
      <c r="AB23" s="81">
        <f>'7a.EAnalysis'!V$28</f>
        <v>155.29732651896191</v>
      </c>
    </row>
    <row r="24" spans="2:28" x14ac:dyDescent="0.55000000000000004">
      <c r="B24" s="408"/>
      <c r="C24" s="240">
        <v>20</v>
      </c>
      <c r="D24" s="81">
        <f>'7a.EAnalysis'!W$4</f>
        <v>440.24036948825233</v>
      </c>
      <c r="E24" s="319" t="str">
        <f>'7a.EAnalysis'!W$5</f>
        <v>--</v>
      </c>
      <c r="F24" s="204">
        <f>'7a.EAnalysis'!W$6</f>
        <v>82.777907949790787</v>
      </c>
      <c r="G24" s="316" t="s">
        <v>31</v>
      </c>
      <c r="H24" s="323">
        <f>'7a.EAnalysis'!W$8</f>
        <v>357.46246153846153</v>
      </c>
      <c r="I24" s="81">
        <f>'7a.EAnalysis'!W$9</f>
        <v>1798.8710700000001</v>
      </c>
      <c r="J24" s="257">
        <f>'7a.EAnalysis'!W$10</f>
        <v>1620.0360000000001</v>
      </c>
      <c r="K24" s="205">
        <f>'7a.EAnalysis'!W$11</f>
        <v>178.28954000000004</v>
      </c>
      <c r="L24" s="206">
        <f>'7a.EAnalysis'!W$12</f>
        <v>0.54552999999999996</v>
      </c>
      <c r="M24" s="81">
        <f>'7a.EAnalysis'!W$13</f>
        <v>1358.6307005117478</v>
      </c>
      <c r="O24" s="258">
        <f>'7a.EAnalysis'!W$15</f>
        <v>0.1036667650806883</v>
      </c>
      <c r="Q24" s="408"/>
      <c r="R24" s="240">
        <v>20</v>
      </c>
      <c r="S24" s="81">
        <f>'7a.EAnalysis'!W$19</f>
        <v>45.638294962774069</v>
      </c>
      <c r="T24" s="318" t="str">
        <f>'7a.EAnalysis'!W$20</f>
        <v>--</v>
      </c>
      <c r="U24" s="56">
        <f>'7a.EAnalysis'!W$21</f>
        <v>8.5813179373018009</v>
      </c>
      <c r="V24" s="316" t="s">
        <v>31</v>
      </c>
      <c r="W24" s="56">
        <f>'7a.EAnalysis'!W$23</f>
        <v>37.056977025472264</v>
      </c>
      <c r="X24" s="81">
        <f>'7a.EAnalysis'!W$24</f>
        <v>186.4831446241364</v>
      </c>
      <c r="Y24" s="56">
        <f>'7a.EAnalysis'!W$25</f>
        <v>167.94389143425795</v>
      </c>
      <c r="Z24" s="56">
        <f>'7a.EAnalysis'!W$26</f>
        <v>18.482699859523983</v>
      </c>
      <c r="AA24" s="56">
        <f>'7a.EAnalysis'!W$27</f>
        <v>5.6553330354467884E-2</v>
      </c>
      <c r="AB24" s="81">
        <f>'7a.EAnalysis'!W$28</f>
        <v>140.84484966136233</v>
      </c>
    </row>
    <row r="25" spans="2:28" x14ac:dyDescent="0.55000000000000004">
      <c r="B25" s="408"/>
      <c r="C25" s="240">
        <v>21</v>
      </c>
      <c r="D25" s="81">
        <f>'7a.EAnalysis'!X$4</f>
        <v>445.14467718056011</v>
      </c>
      <c r="E25" s="319" t="str">
        <f>'7a.EAnalysis'!X$5</f>
        <v>--</v>
      </c>
      <c r="F25" s="204">
        <f>'7a.EAnalysis'!X$6</f>
        <v>82.777907949790787</v>
      </c>
      <c r="G25" s="316" t="s">
        <v>31</v>
      </c>
      <c r="H25" s="323">
        <f>'7a.EAnalysis'!X$8</f>
        <v>362.36676923076931</v>
      </c>
      <c r="I25" s="81">
        <f>'7a.EAnalysis'!X$9</f>
        <v>1823.1322957142859</v>
      </c>
      <c r="J25" s="257">
        <f>'7a.EAnalysis'!X$10</f>
        <v>1642.338</v>
      </c>
      <c r="K25" s="205">
        <f>'7a.EAnalysis'!X$11</f>
        <v>180.24876571428575</v>
      </c>
      <c r="L25" s="206">
        <f>'7a.EAnalysis'!X$12</f>
        <v>0.54552999999999996</v>
      </c>
      <c r="M25" s="81">
        <f>'7a.EAnalysis'!X$13</f>
        <v>1377.9876185337257</v>
      </c>
      <c r="O25" s="258">
        <f>'7a.EAnalysis'!X$15</f>
        <v>9.2559611679185971E-2</v>
      </c>
      <c r="Q25" s="408"/>
      <c r="R25" s="240">
        <v>21</v>
      </c>
      <c r="S25" s="81">
        <f>'7a.EAnalysis'!X$19</f>
        <v>41.202418460889241</v>
      </c>
      <c r="T25" s="318" t="str">
        <f>'7a.EAnalysis'!X$20</f>
        <v>--</v>
      </c>
      <c r="U25" s="56">
        <f>'7a.EAnalysis'!X$21</f>
        <v>7.6618910154480364</v>
      </c>
      <c r="V25" s="316" t="s">
        <v>31</v>
      </c>
      <c r="W25" s="56">
        <f>'7a.EAnalysis'!X$23</f>
        <v>33.540527445441199</v>
      </c>
      <c r="X25" s="81">
        <f>'7a.EAnalysis'!X$24</f>
        <v>168.74841733109716</v>
      </c>
      <c r="Y25" s="56">
        <f>'7a.EAnalysis'!X$25</f>
        <v>152.01416752597092</v>
      </c>
      <c r="Z25" s="56">
        <f>'7a.EAnalysis'!X$26</f>
        <v>16.683755760166861</v>
      </c>
      <c r="AA25" s="56">
        <f>'7a.EAnalysis'!X$27</f>
        <v>5.0494044959346319E-2</v>
      </c>
      <c r="AB25" s="81">
        <f>'7a.EAnalysis'!X$28</f>
        <v>127.5459988702079</v>
      </c>
    </row>
    <row r="26" spans="2:28" x14ac:dyDescent="0.55000000000000004">
      <c r="B26" s="408"/>
      <c r="C26" s="240">
        <v>22</v>
      </c>
      <c r="D26" s="81">
        <f>'7a.EAnalysis'!Y$4</f>
        <v>450.11267718056007</v>
      </c>
      <c r="E26" s="319" t="str">
        <f>'7a.EAnalysis'!Y$5</f>
        <v>--</v>
      </c>
      <c r="F26" s="204">
        <f>'7a.EAnalysis'!Y$6</f>
        <v>82.777907949790787</v>
      </c>
      <c r="G26" s="316" t="s">
        <v>31</v>
      </c>
      <c r="H26" s="323">
        <f>'7a.EAnalysis'!Y$8</f>
        <v>367.33476923076927</v>
      </c>
      <c r="I26" s="81">
        <f>'7a.EAnalysis'!Y$9</f>
        <v>1847.6815214285716</v>
      </c>
      <c r="J26" s="257">
        <f>'7a.EAnalysis'!Y$10</f>
        <v>1664.9280000000001</v>
      </c>
      <c r="K26" s="205">
        <f>'7a.EAnalysis'!Y$11</f>
        <v>182.20799142857146</v>
      </c>
      <c r="L26" s="206">
        <f>'7a.EAnalysis'!Y$12</f>
        <v>0.54552999999999996</v>
      </c>
      <c r="M26" s="81">
        <f>'7a.EAnalysis'!Y$13</f>
        <v>1397.5688442480116</v>
      </c>
      <c r="O26" s="258">
        <f>'7a.EAnalysis'!Y$15</f>
        <v>8.2642510427844609E-2</v>
      </c>
      <c r="Q26" s="408"/>
      <c r="R26" s="240">
        <v>22</v>
      </c>
      <c r="S26" s="81">
        <f>'7a.EAnalysis'!Y$19</f>
        <v>37.198441617599492</v>
      </c>
      <c r="T26" s="318" t="str">
        <f>'7a.EAnalysis'!Y$20</f>
        <v>--</v>
      </c>
      <c r="U26" s="56">
        <f>'7a.EAnalysis'!Y$21</f>
        <v>6.840974120935746</v>
      </c>
      <c r="V26" s="316" t="s">
        <v>31</v>
      </c>
      <c r="W26" s="56">
        <f>'7a.EAnalysis'!Y$23</f>
        <v>30.357467496663741</v>
      </c>
      <c r="X26" s="81">
        <f>'7a.EAnalysis'!Y$24</f>
        <v>152.69703940199653</v>
      </c>
      <c r="Y26" s="56">
        <f>'7a.EAnalysis'!Y$25</f>
        <v>137.59382960161048</v>
      </c>
      <c r="Z26" s="56">
        <f>'7a.EAnalysis'!Y$26</f>
        <v>15.058125831672339</v>
      </c>
      <c r="AA26" s="56">
        <f>'7a.EAnalysis'!Y$27</f>
        <v>4.5083968713702065E-2</v>
      </c>
      <c r="AB26" s="81">
        <f>'7a.EAnalysis'!Y$28</f>
        <v>115.49859778439703</v>
      </c>
    </row>
    <row r="27" spans="2:28" x14ac:dyDescent="0.55000000000000004">
      <c r="B27" s="408"/>
      <c r="C27" s="240">
        <v>23</v>
      </c>
      <c r="D27" s="81">
        <f>'7a.EAnalysis'!Z$4</f>
        <v>455.14436948825232</v>
      </c>
      <c r="E27" s="319" t="str">
        <f>'7a.EAnalysis'!Z$5</f>
        <v>--</v>
      </c>
      <c r="F27" s="204">
        <f>'7a.EAnalysis'!Z$6</f>
        <v>82.777907949790787</v>
      </c>
      <c r="G27" s="316" t="s">
        <v>31</v>
      </c>
      <c r="H27" s="323">
        <f>'7a.EAnalysis'!Z$8</f>
        <v>372.36646153846152</v>
      </c>
      <c r="I27" s="81">
        <f>'7a.EAnalysis'!Z$9</f>
        <v>1872.2307471428574</v>
      </c>
      <c r="J27" s="257">
        <f>'7a.EAnalysis'!Z$10</f>
        <v>1687.518</v>
      </c>
      <c r="K27" s="205">
        <f>'7a.EAnalysis'!Z$11</f>
        <v>184.16721714285717</v>
      </c>
      <c r="L27" s="206">
        <f>'7a.EAnalysis'!Z$12</f>
        <v>0.54552999999999996</v>
      </c>
      <c r="M27" s="81">
        <f>'7a.EAnalysis'!Z$13</f>
        <v>1417.086377654605</v>
      </c>
      <c r="O27" s="258">
        <f>'7a.EAnalysis'!Z$15</f>
        <v>7.3787955739146982E-2</v>
      </c>
      <c r="Q27" s="408"/>
      <c r="R27" s="240">
        <v>23</v>
      </c>
      <c r="S27" s="81">
        <f>'7a.EAnalysis'!Z$19</f>
        <v>33.584172590721124</v>
      </c>
      <c r="T27" s="318" t="str">
        <f>'7a.EAnalysis'!Z$20</f>
        <v>--</v>
      </c>
      <c r="U27" s="56">
        <f>'7a.EAnalysis'!Z$21</f>
        <v>6.1080126079783454</v>
      </c>
      <c r="V27" s="316" t="s">
        <v>31</v>
      </c>
      <c r="W27" s="56">
        <f>'7a.EAnalysis'!Z$23</f>
        <v>27.476159982742775</v>
      </c>
      <c r="X27" s="81">
        <f>'7a.EAnalysis'!Z$24</f>
        <v>138.14807950364724</v>
      </c>
      <c r="Y27" s="56">
        <f>'7a.EAnalysis'!Z$25</f>
        <v>124.51850349301384</v>
      </c>
      <c r="Z27" s="56">
        <f>'7a.EAnalysis'!Z$26</f>
        <v>13.589322467139016</v>
      </c>
      <c r="AA27" s="56">
        <f>'7a.EAnalysis'!Z$27</f>
        <v>4.0253543494376848E-2</v>
      </c>
      <c r="AB27" s="81">
        <f>'7a.EAnalysis'!Z$28</f>
        <v>104.56390691292611</v>
      </c>
    </row>
    <row r="28" spans="2:28" x14ac:dyDescent="0.55000000000000004">
      <c r="B28" s="408"/>
      <c r="C28" s="240">
        <v>24</v>
      </c>
      <c r="D28" s="81">
        <f>'7a.EAnalysis'!AA$4</f>
        <v>460.23975410363693</v>
      </c>
      <c r="E28" s="319" t="str">
        <f>'7a.EAnalysis'!AA$5</f>
        <v>--</v>
      </c>
      <c r="F28" s="204">
        <f>'7a.EAnalysis'!AA$6</f>
        <v>82.777907949790787</v>
      </c>
      <c r="G28" s="316" t="s">
        <v>31</v>
      </c>
      <c r="H28" s="323">
        <f>'7a.EAnalysis'!AA$8</f>
        <v>377.46184615384612</v>
      </c>
      <c r="I28" s="81">
        <f>'7a.EAnalysis'!AA$9</f>
        <v>1899.0271985714287</v>
      </c>
      <c r="J28" s="257">
        <f>'7a.EAnalysis'!AA$10</f>
        <v>1710.396</v>
      </c>
      <c r="K28" s="205">
        <f>'7a.EAnalysis'!AA$11</f>
        <v>188.08566857142858</v>
      </c>
      <c r="L28" s="206">
        <f>'7a.EAnalysis'!AA$12</f>
        <v>0.54552999999999996</v>
      </c>
      <c r="M28" s="81">
        <f>'7a.EAnalysis'!AA$13</f>
        <v>1438.7874444677918</v>
      </c>
      <c r="O28" s="258">
        <f>'7a.EAnalysis'!AA$15</f>
        <v>6.5882103338524081E-2</v>
      </c>
      <c r="Q28" s="408"/>
      <c r="R28" s="240">
        <v>24</v>
      </c>
      <c r="S28" s="81">
        <f>'7a.EAnalysis'!AA$19</f>
        <v>30.321563040352721</v>
      </c>
      <c r="T28" s="318" t="str">
        <f>'7a.EAnalysis'!AA$20</f>
        <v>--</v>
      </c>
      <c r="U28" s="56">
        <f>'7a.EAnalysis'!AA$21</f>
        <v>5.4535826856949505</v>
      </c>
      <c r="V28" s="316" t="s">
        <v>31</v>
      </c>
      <c r="W28" s="56">
        <f>'7a.EAnalysis'!AA$23</f>
        <v>24.867980354657767</v>
      </c>
      <c r="X28" s="81">
        <f>'7a.EAnalysis'!AA$24</f>
        <v>125.11190613895076</v>
      </c>
      <c r="Y28" s="56">
        <f>'7a.EAnalysis'!AA$25</f>
        <v>112.68448602179824</v>
      </c>
      <c r="Z28" s="56">
        <f>'7a.EAnalysis'!AA$26</f>
        <v>12.391479453318249</v>
      </c>
      <c r="AA28" s="56">
        <f>'7a.EAnalysis'!AA$27</f>
        <v>3.5940663834265037E-2</v>
      </c>
      <c r="AB28" s="81">
        <f>'7a.EAnalysis'!AA$28</f>
        <v>94.790343098598044</v>
      </c>
    </row>
    <row r="29" spans="2:28" x14ac:dyDescent="0.55000000000000004">
      <c r="B29" s="408"/>
      <c r="C29" s="240">
        <v>25</v>
      </c>
      <c r="D29" s="81">
        <f>'7a.EAnalysis'!AB$4</f>
        <v>465.42006179594472</v>
      </c>
      <c r="E29" s="319" t="str">
        <f>'7a.EAnalysis'!AB$5</f>
        <v>--</v>
      </c>
      <c r="F29" s="204">
        <f>'7a.EAnalysis'!AB$6</f>
        <v>82.777907949790787</v>
      </c>
      <c r="G29" s="316" t="s">
        <v>31</v>
      </c>
      <c r="H29" s="323">
        <f>'7a.EAnalysis'!AB$8</f>
        <v>382.64215384615392</v>
      </c>
      <c r="I29" s="81">
        <f>'7a.EAnalysis'!AB$9</f>
        <v>1924.9024242857145</v>
      </c>
      <c r="J29" s="257">
        <f>'7a.EAnalysis'!AB$10</f>
        <v>1734.3120000000001</v>
      </c>
      <c r="K29" s="205">
        <f>'7a.EAnalysis'!AB$11</f>
        <v>190.04489428571429</v>
      </c>
      <c r="L29" s="206">
        <f>'7a.EAnalysis'!AB$12</f>
        <v>0.54552999999999996</v>
      </c>
      <c r="M29" s="81">
        <f>'7a.EAnalysis'!AB$13</f>
        <v>1459.4823624897697</v>
      </c>
      <c r="O29" s="258">
        <f>'7a.EAnalysis'!AB$15</f>
        <v>5.8823306552253637E-2</v>
      </c>
      <c r="Q29" s="408"/>
      <c r="R29" s="240">
        <v>25</v>
      </c>
      <c r="S29" s="81">
        <f>'7a.EAnalysis'!AB$19</f>
        <v>27.377546970591688</v>
      </c>
      <c r="T29" s="318" t="str">
        <f>'7a.EAnalysis'!AB$20</f>
        <v>--</v>
      </c>
      <c r="U29" s="56">
        <f>'7a.EAnalysis'!AB$21</f>
        <v>4.8692702550847766</v>
      </c>
      <c r="V29" s="316" t="s">
        <v>31</v>
      </c>
      <c r="W29" s="56">
        <f>'7a.EAnalysis'!AB$23</f>
        <v>22.508276715506909</v>
      </c>
      <c r="X29" s="81">
        <f>'7a.EAnalysis'!AB$24</f>
        <v>113.22912538693478</v>
      </c>
      <c r="Y29" s="56">
        <f>'7a.EAnalysis'!AB$25</f>
        <v>102.01796643325211</v>
      </c>
      <c r="Z29" s="56">
        <f>'7a.EAnalysis'!AB$26</f>
        <v>11.179069075259207</v>
      </c>
      <c r="AA29" s="56">
        <f>'7a.EAnalysis'!AB$27</f>
        <v>3.2089878423450922E-2</v>
      </c>
      <c r="AB29" s="81">
        <f>'7a.EAnalysis'!AB$28</f>
        <v>85.851578416343088</v>
      </c>
    </row>
    <row r="30" spans="2:28" x14ac:dyDescent="0.55000000000000004">
      <c r="B30" s="408"/>
      <c r="C30" s="240">
        <v>26</v>
      </c>
      <c r="D30" s="81">
        <f>'7a.EAnalysis'!AC$4</f>
        <v>470.66406179594469</v>
      </c>
      <c r="E30" s="319" t="str">
        <f>'7a.EAnalysis'!AC$5</f>
        <v>--</v>
      </c>
      <c r="F30" s="204">
        <f>'7a.EAnalysis'!AC$6</f>
        <v>82.777907949790787</v>
      </c>
      <c r="G30" s="316" t="s">
        <v>31</v>
      </c>
      <c r="H30" s="323">
        <f>'7a.EAnalysis'!AC$8</f>
        <v>387.88615384615389</v>
      </c>
      <c r="I30" s="81">
        <f>'7a.EAnalysis'!AC$9</f>
        <v>1950.0276500000002</v>
      </c>
      <c r="J30" s="257">
        <f>'7a.EAnalysis'!AC$10</f>
        <v>1757.4780000000001</v>
      </c>
      <c r="K30" s="205">
        <f>'7a.EAnalysis'!AC$11</f>
        <v>192.00412000000003</v>
      </c>
      <c r="L30" s="206">
        <f>'7a.EAnalysis'!AC$12</f>
        <v>0.54552999999999996</v>
      </c>
      <c r="M30" s="81">
        <f>'7a.EAnalysis'!AC$13</f>
        <v>1479.3635882040555</v>
      </c>
      <c r="O30" s="258">
        <f>'7a.EAnalysis'!AC$15</f>
        <v>5.2520809421655032E-2</v>
      </c>
      <c r="Q30" s="408"/>
      <c r="R30" s="240">
        <v>26</v>
      </c>
      <c r="S30" s="81">
        <f>'7a.EAnalysis'!AC$19</f>
        <v>24.719657491206878</v>
      </c>
      <c r="T30" s="318" t="str">
        <f>'7a.EAnalysis'!AC$20</f>
        <v>--</v>
      </c>
      <c r="U30" s="56">
        <f>'7a.EAnalysis'!AC$21</f>
        <v>4.3475627277542648</v>
      </c>
      <c r="V30" s="316" t="s">
        <v>31</v>
      </c>
      <c r="W30" s="56">
        <f>'7a.EAnalysis'!AC$23</f>
        <v>20.372094763452612</v>
      </c>
      <c r="X30" s="81">
        <f>'7a.EAnalysis'!AC$24</f>
        <v>102.41703057260783</v>
      </c>
      <c r="Y30" s="56">
        <f>'7a.EAnalysis'!AC$25</f>
        <v>92.304167100751442</v>
      </c>
      <c r="Z30" s="56">
        <f>'7a.EAnalysis'!AC$26</f>
        <v>10.084211794692585</v>
      </c>
      <c r="AA30" s="56">
        <f>'7a.EAnalysis'!AC$27</f>
        <v>2.8651677163795467E-2</v>
      </c>
      <c r="AB30" s="81">
        <f>'7a.EAnalysis'!AC$28</f>
        <v>77.697373081400954</v>
      </c>
    </row>
    <row r="31" spans="2:28" x14ac:dyDescent="0.55000000000000004">
      <c r="B31" s="408"/>
      <c r="C31" s="240">
        <v>27</v>
      </c>
      <c r="D31" s="81">
        <f>'7a.EAnalysis'!AD$4</f>
        <v>475.9717541036369</v>
      </c>
      <c r="E31" s="319" t="str">
        <f>'7a.EAnalysis'!AD$5</f>
        <v>--</v>
      </c>
      <c r="F31" s="204">
        <f>'7a.EAnalysis'!AD$6</f>
        <v>82.777907949790787</v>
      </c>
      <c r="G31" s="316" t="s">
        <v>31</v>
      </c>
      <c r="H31" s="323">
        <f>'7a.EAnalysis'!AD$8</f>
        <v>393.1938461538461</v>
      </c>
      <c r="I31" s="81">
        <f>'7a.EAnalysis'!AD$9</f>
        <v>1978.4381014285718</v>
      </c>
      <c r="J31" s="257">
        <f>'7a.EAnalysis'!AD$10</f>
        <v>1781.9700000000003</v>
      </c>
      <c r="K31" s="205">
        <f>'7a.EAnalysis'!AD$11</f>
        <v>195.92257142857144</v>
      </c>
      <c r="L31" s="206">
        <f>'7a.EAnalysis'!AD$12</f>
        <v>0.54552999999999996</v>
      </c>
      <c r="M31" s="81">
        <f>'7a.EAnalysis'!AD$13</f>
        <v>1502.466347324935</v>
      </c>
      <c r="O31" s="258">
        <f>'7a.EAnalysis'!AD$15</f>
        <v>4.6893579840763415E-2</v>
      </c>
      <c r="Q31" s="408"/>
      <c r="R31" s="240">
        <v>27</v>
      </c>
      <c r="S31" s="81">
        <f>'7a.EAnalysis'!AD$19</f>
        <v>22.320019453007109</v>
      </c>
      <c r="T31" s="318" t="str">
        <f>'7a.EAnalysis'!AD$20</f>
        <v>--</v>
      </c>
      <c r="U31" s="56">
        <f>'7a.EAnalysis'!AD$21</f>
        <v>3.8817524354948789</v>
      </c>
      <c r="V31" s="316" t="s">
        <v>31</v>
      </c>
      <c r="W31" s="56">
        <f>'7a.EAnalysis'!AD$23</f>
        <v>18.438267017512228</v>
      </c>
      <c r="X31" s="81">
        <f>'7a.EAnalysis'!AD$24</f>
        <v>92.776045069349124</v>
      </c>
      <c r="Y31" s="56">
        <f>'7a.EAnalysis'!AD$25</f>
        <v>83.562952468845197</v>
      </c>
      <c r="Z31" s="56">
        <f>'7a.EAnalysis'!AD$26</f>
        <v>9.1875107458933876</v>
      </c>
      <c r="AA31" s="56">
        <f>'7a.EAnalysis'!AD$27</f>
        <v>2.5581854610531665E-2</v>
      </c>
      <c r="AB31" s="81">
        <f>'7a.EAnalysis'!AD$28</f>
        <v>70.456025616342018</v>
      </c>
    </row>
    <row r="32" spans="2:28" x14ac:dyDescent="0.55000000000000004">
      <c r="B32" s="408"/>
      <c r="C32" s="240">
        <v>28</v>
      </c>
      <c r="D32" s="81">
        <f>'7a.EAnalysis'!AE$4</f>
        <v>481.36436948825235</v>
      </c>
      <c r="E32" s="319" t="str">
        <f>'7a.EAnalysis'!AE$5</f>
        <v>--</v>
      </c>
      <c r="F32" s="204">
        <f>'7a.EAnalysis'!AE$6</f>
        <v>82.777907949790787</v>
      </c>
      <c r="G32" s="316" t="s">
        <v>31</v>
      </c>
      <c r="H32" s="323">
        <f>'7a.EAnalysis'!AE$8</f>
        <v>398.58646153846155</v>
      </c>
      <c r="I32" s="81">
        <f>'7a.EAnalysis'!AE$9</f>
        <v>2004.8893271428574</v>
      </c>
      <c r="J32" s="257">
        <f>'7a.EAnalysis'!AE$10</f>
        <v>1806.4620000000002</v>
      </c>
      <c r="K32" s="205">
        <f>'7a.EAnalysis'!AE$11</f>
        <v>197.88179714285715</v>
      </c>
      <c r="L32" s="206">
        <f>'7a.EAnalysis'!AE$12</f>
        <v>0.54552999999999996</v>
      </c>
      <c r="M32" s="81">
        <f>'7a.EAnalysis'!AE$13</f>
        <v>1523.524957654605</v>
      </c>
      <c r="O32" s="258">
        <f>'7a.EAnalysis'!AE$15</f>
        <v>4.1869267714967337E-2</v>
      </c>
      <c r="Q32" s="408"/>
      <c r="R32" s="240">
        <v>28</v>
      </c>
      <c r="S32" s="81">
        <f>'7a.EAnalysis'!AE$19</f>
        <v>20.154373654550092</v>
      </c>
      <c r="T32" s="318" t="str">
        <f>'7a.EAnalysis'!AE$20</f>
        <v>--</v>
      </c>
      <c r="U32" s="56">
        <f>'7a.EAnalysis'!AE$21</f>
        <v>3.4658503888347134</v>
      </c>
      <c r="V32" s="316" t="s">
        <v>31</v>
      </c>
      <c r="W32" s="56">
        <f>'7a.EAnalysis'!AE$23</f>
        <v>16.688523265715379</v>
      </c>
      <c r="X32" s="81">
        <f>'7a.EAnalysis'!AE$24</f>
        <v>83.943247977025024</v>
      </c>
      <c r="Y32" s="56">
        <f>'7a.EAnalysis'!AE$25</f>
        <v>75.63524109491533</v>
      </c>
      <c r="Z32" s="56">
        <f>'7a.EAnalysis'!AE$26</f>
        <v>8.2851659404931439</v>
      </c>
      <c r="AA32" s="56">
        <f>'7a.EAnalysis'!AE$27</f>
        <v>2.284094161654613E-2</v>
      </c>
      <c r="AB32" s="81">
        <f>'7a.EAnalysis'!AE$28</f>
        <v>63.788874322474932</v>
      </c>
    </row>
    <row r="33" spans="2:28" x14ac:dyDescent="0.55000000000000004">
      <c r="B33" s="408"/>
      <c r="C33" s="240">
        <v>29</v>
      </c>
      <c r="D33" s="81">
        <f>'7a.EAnalysis'!AF$4</f>
        <v>486.8206771805601</v>
      </c>
      <c r="E33" s="319" t="str">
        <f>'7a.EAnalysis'!AF$5</f>
        <v>--</v>
      </c>
      <c r="F33" s="204">
        <f>'7a.EAnalysis'!AF$6</f>
        <v>82.777907949790787</v>
      </c>
      <c r="G33" s="316" t="s">
        <v>31</v>
      </c>
      <c r="H33" s="323">
        <f>'7a.EAnalysis'!AF$8</f>
        <v>404.0427692307693</v>
      </c>
      <c r="I33" s="81">
        <f>'7a.EAnalysis'!AF$9</f>
        <v>2033.2997785714288</v>
      </c>
      <c r="J33" s="257">
        <f>'7a.EAnalysis'!AF$10</f>
        <v>1830.9540000000002</v>
      </c>
      <c r="K33" s="205">
        <f>'7a.EAnalysis'!AF$11</f>
        <v>201.80024857142857</v>
      </c>
      <c r="L33" s="206">
        <f>'7a.EAnalysis'!AF$12</f>
        <v>0.54552999999999996</v>
      </c>
      <c r="M33" s="81">
        <f>'7a.EAnalysis'!AF$13</f>
        <v>1546.4791013908687</v>
      </c>
      <c r="O33" s="258">
        <f>'7a.EAnalysis'!AF$15</f>
        <v>3.7383274745506546E-2</v>
      </c>
      <c r="Q33" s="408"/>
      <c r="R33" s="240">
        <v>29</v>
      </c>
      <c r="S33" s="81">
        <f>'7a.EAnalysis'!AF$19</f>
        <v>18.198951126834427</v>
      </c>
      <c r="T33" s="318" t="str">
        <f>'7a.EAnalysis'!AF$20</f>
        <v>--</v>
      </c>
      <c r="U33" s="56">
        <f>'7a.EAnalysis'!AF$21</f>
        <v>3.0945092757452795</v>
      </c>
      <c r="V33" s="316" t="s">
        <v>31</v>
      </c>
      <c r="W33" s="56">
        <f>'7a.EAnalysis'!AF$23</f>
        <v>15.104441851089147</v>
      </c>
      <c r="X33" s="81">
        <f>'7a.EAnalysis'!AF$24</f>
        <v>76.011404262313349</v>
      </c>
      <c r="Y33" s="56">
        <f>'7a.EAnalysis'!AF$25</f>
        <v>68.447056428384201</v>
      </c>
      <c r="Z33" s="56">
        <f>'7a.EAnalysis'!AF$26</f>
        <v>7.5439541360572289</v>
      </c>
      <c r="AA33" s="56">
        <f>'7a.EAnalysis'!AF$27</f>
        <v>2.0393697871916184E-2</v>
      </c>
      <c r="AB33" s="81">
        <f>'7a.EAnalysis'!AF$28</f>
        <v>57.812453135478918</v>
      </c>
    </row>
    <row r="34" spans="2:28" x14ac:dyDescent="0.55000000000000004">
      <c r="B34" s="408"/>
      <c r="C34" s="240">
        <v>30</v>
      </c>
      <c r="D34" s="81">
        <f>'7a.EAnalysis'!AG$4</f>
        <v>492.3619079497908</v>
      </c>
      <c r="E34" s="319" t="str">
        <f>'7a.EAnalysis'!AG$5</f>
        <v>--</v>
      </c>
      <c r="F34" s="204">
        <f>'7a.EAnalysis'!AG$6</f>
        <v>82.777907949790787</v>
      </c>
      <c r="G34" s="316" t="s">
        <v>31</v>
      </c>
      <c r="H34" s="323">
        <f>'7a.EAnalysis'!AG$8</f>
        <v>409.584</v>
      </c>
      <c r="I34" s="81">
        <f>'7a.EAnalysis'!AG$9</f>
        <v>2060.3270042857143</v>
      </c>
      <c r="J34" s="257">
        <f>'7a.EAnalysis'!AG$10</f>
        <v>1856.0219999999999</v>
      </c>
      <c r="K34" s="205">
        <f>'7a.EAnalysis'!AG$11</f>
        <v>203.7594742857143</v>
      </c>
      <c r="L34" s="206">
        <f>'7a.EAnalysis'!AG$12</f>
        <v>0.54552999999999996</v>
      </c>
      <c r="M34" s="81">
        <f>'7a.EAnalysis'!AG$13</f>
        <v>1805.1592038309116</v>
      </c>
      <c r="O34" s="258">
        <f>'7a.EAnalysis'!AG$15</f>
        <v>3.3377923879916553E-2</v>
      </c>
      <c r="Q34" s="411"/>
      <c r="R34" s="240">
        <v>30</v>
      </c>
      <c r="S34" s="81">
        <f>'7a.EAnalysis'!AG$19</f>
        <v>16.434018284918597</v>
      </c>
      <c r="T34" s="318" t="str">
        <f>'7a.EAnalysis'!AG$20</f>
        <v>--</v>
      </c>
      <c r="U34" s="56">
        <f>'7a.EAnalysis'!AG$21</f>
        <v>2.7629547104868561</v>
      </c>
      <c r="V34" s="316" t="s">
        <v>31</v>
      </c>
      <c r="W34" s="56">
        <f>'7a.EAnalysis'!AG$23</f>
        <v>13.671063574431741</v>
      </c>
      <c r="X34" s="81">
        <f>'7a.EAnalysis'!AG$24</f>
        <v>68.76943791678508</v>
      </c>
      <c r="Y34" s="56">
        <f>'7a.EAnalysis'!AG$25</f>
        <v>61.950161035450478</v>
      </c>
      <c r="Z34" s="56">
        <f>'7a.EAnalysis'!AG$26</f>
        <v>6.801068222520386</v>
      </c>
      <c r="AA34" s="56">
        <f>'7a.EAnalysis'!AG$27</f>
        <v>1.8208658814210875E-2</v>
      </c>
      <c r="AB34" s="81">
        <f>'7a.EAnalysis'!AG$28</f>
        <v>60.252466496598934</v>
      </c>
    </row>
    <row r="35" spans="2:28" x14ac:dyDescent="0.55000000000000004">
      <c r="B35" s="409" t="s">
        <v>30</v>
      </c>
      <c r="C35" s="409"/>
      <c r="D35" s="55"/>
      <c r="E35" s="53"/>
      <c r="F35" s="53"/>
      <c r="G35" s="53">
        <f>'7a.EAnalysis'!AH$7</f>
        <v>-237.194107494988</v>
      </c>
      <c r="H35" s="53"/>
      <c r="I35" s="53"/>
      <c r="J35" s="260"/>
      <c r="K35" s="53"/>
      <c r="L35" s="53"/>
      <c r="M35" s="53"/>
      <c r="N35" s="241"/>
      <c r="O35" s="241"/>
      <c r="P35" s="241"/>
      <c r="Q35" s="409" t="s">
        <v>30</v>
      </c>
      <c r="R35" s="409"/>
      <c r="S35" s="53"/>
      <c r="T35" s="53"/>
      <c r="U35" s="53"/>
      <c r="V35" s="53">
        <f>'7a.EAnalysis'!AH$22</f>
        <v>-7.9170468647324537</v>
      </c>
      <c r="W35" s="53"/>
      <c r="X35" s="53"/>
      <c r="Y35" s="260"/>
      <c r="Z35" s="53"/>
      <c r="AA35" s="53"/>
      <c r="AB35" s="53"/>
    </row>
    <row r="37" spans="2:28" x14ac:dyDescent="0.55000000000000004">
      <c r="D37" s="261" t="str">
        <f>'7a.EAnalysis'!B30</f>
        <v>ENPV</v>
      </c>
      <c r="E37" s="262">
        <f>'7a.EAnalysis'!C30</f>
        <v>2531.2602835951411</v>
      </c>
      <c r="F37" s="265" t="str">
        <f>'7a.EAnalysis'!D30</f>
        <v xml:space="preserve">  (lakh)</v>
      </c>
    </row>
    <row r="38" spans="2:28" x14ac:dyDescent="0.55000000000000004">
      <c r="D38" s="261" t="str">
        <f>'7a.EAnalysis'!B31</f>
        <v>EBCR</v>
      </c>
      <c r="E38" s="263">
        <f>'7a.EAnalysis'!C31</f>
        <v>1.5489833835484563</v>
      </c>
    </row>
    <row r="39" spans="2:28" x14ac:dyDescent="0.55000000000000004">
      <c r="D39" s="261" t="str">
        <f>'7a.EAnalysis'!B32</f>
        <v>EIRR</v>
      </c>
      <c r="E39" s="264">
        <f>'7a.EAnalysis'!C32</f>
        <v>0.20389887128333317</v>
      </c>
    </row>
  </sheetData>
  <sheetProtection algorithmName="SHA-512" hashValue="lbOQ6qmQloxU4f5K0dZYkQhpkfdUEIPGPYXEqObfXgHiB8ZNbB4362NviYCSIzWOhdtGSU+A6+X0QHtn3WPzqw==" saltValue="r7ehchtkjwTHbRhaX47Csg==" spinCount="100000" sheet="1" objects="1" scenarios="1" autoFilter="0"/>
  <mergeCells count="8">
    <mergeCell ref="B2:M2"/>
    <mergeCell ref="Q2:AB2"/>
    <mergeCell ref="B4:C4"/>
    <mergeCell ref="B5:B34"/>
    <mergeCell ref="B35:C35"/>
    <mergeCell ref="Q4:R4"/>
    <mergeCell ref="Q5:Q34"/>
    <mergeCell ref="Q35:R35"/>
  </mergeCells>
  <phoneticPr fontId="3"/>
  <printOptions horizontalCentered="1"/>
  <pageMargins left="0.7" right="0.7" top="0.75" bottom="0.75" header="0.3" footer="0.3"/>
  <pageSetup paperSize="9" scale="35"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D88E-0D7E-4A77-8D00-EFBEA3685961}">
  <sheetPr codeName="Sheet12">
    <tabColor theme="0" tint="-0.14999847407452621"/>
  </sheetPr>
  <dimension ref="A1:D10"/>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RowHeight="18" x14ac:dyDescent="0.55000000000000004"/>
  <cols>
    <col min="1" max="1" width="2.58203125" customWidth="1"/>
    <col min="2" max="2" width="41.4140625" bestFit="1" customWidth="1"/>
    <col min="3" max="13" width="10.9140625" customWidth="1"/>
  </cols>
  <sheetData>
    <row r="1" spans="1:4" s="3" customFormat="1" ht="20" x14ac:dyDescent="0.6">
      <c r="A1" s="5" t="str">
        <f>"Summary Results ("&amp;MID('0.Contents'!A1,20,(LEN('0.Contents'!A1)-20))&amp;")"</f>
        <v>Summary Results (Rural Infrastructure Development)</v>
      </c>
    </row>
    <row r="2" spans="1:4" ht="18" customHeight="1" x14ac:dyDescent="0.6">
      <c r="A2" s="6"/>
      <c r="B2" s="112" t="s">
        <v>40</v>
      </c>
      <c r="C2" s="115" t="s">
        <v>74</v>
      </c>
      <c r="D2" s="118"/>
    </row>
    <row r="3" spans="1:4" x14ac:dyDescent="0.55000000000000004">
      <c r="B3" s="113" t="s">
        <v>75</v>
      </c>
      <c r="C3" s="59">
        <f>'4a.FAnalysis'!$C22</f>
        <v>-3781.0194605355032</v>
      </c>
      <c r="D3" s="136" t="s">
        <v>103</v>
      </c>
    </row>
    <row r="4" spans="1:4" x14ac:dyDescent="0.55000000000000004">
      <c r="B4" s="19" t="s">
        <v>77</v>
      </c>
      <c r="C4" s="116">
        <f>'4a.FAnalysis'!$C23</f>
        <v>0</v>
      </c>
    </row>
    <row r="5" spans="1:4" x14ac:dyDescent="0.55000000000000004">
      <c r="B5" s="19" t="s">
        <v>78</v>
      </c>
      <c r="C5" s="77" t="str">
        <f>'4a.FAnalysis'!$C24</f>
        <v xml:space="preserve">        n/a</v>
      </c>
    </row>
    <row r="6" spans="1:4" x14ac:dyDescent="0.55000000000000004">
      <c r="B6" s="113" t="s">
        <v>76</v>
      </c>
      <c r="C6" s="39">
        <f>'7a.EAnalysis'!$C30</f>
        <v>2531.2602835951411</v>
      </c>
      <c r="D6" s="136" t="s">
        <v>103</v>
      </c>
    </row>
    <row r="7" spans="1:4" x14ac:dyDescent="0.55000000000000004">
      <c r="B7" s="19" t="s">
        <v>79</v>
      </c>
      <c r="C7" s="117">
        <f>'7a.EAnalysis'!$C31</f>
        <v>1.5489833835484563</v>
      </c>
      <c r="D7" s="117"/>
    </row>
    <row r="8" spans="1:4" x14ac:dyDescent="0.55000000000000004">
      <c r="B8" s="114" t="s">
        <v>80</v>
      </c>
      <c r="C8" s="119">
        <f>'7a.EAnalysis'!$C32</f>
        <v>0.20389887128333317</v>
      </c>
      <c r="D8" s="117"/>
    </row>
    <row r="9" spans="1:4" x14ac:dyDescent="0.55000000000000004">
      <c r="D9" s="117"/>
    </row>
    <row r="10" spans="1:4" x14ac:dyDescent="0.55000000000000004">
      <c r="B10" s="10"/>
    </row>
  </sheetData>
  <sheetProtection algorithmName="SHA-512" hashValue="iFbGeiU2Mg8dAgcVPkakKkja9kDVPSgKZtugwIn1sreA9Kyup/KtV23g6DLiiL7RqDm7/NV2IXw3PfVf/kf7mw==" saltValue="8Qz1JIrHMfKo2KAK7Uil9w==" spinCount="100000" sheet="1" objects="1" scenarios="1" autoFilter="0"/>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B063-FD4D-40A8-BF23-A72614F2600A}">
  <sheetPr codeName="Sheet2">
    <tabColor theme="0" tint="-0.14999847407452621"/>
  </sheetPr>
  <dimension ref="A1:R167"/>
  <sheetViews>
    <sheetView zoomScale="80" zoomScaleNormal="80" workbookViewId="0">
      <pane xSplit="1" ySplit="1" topLeftCell="B4" activePane="bottomRight" state="frozen"/>
      <selection pane="topRight" activeCell="B1" sqref="B1"/>
      <selection pane="bottomLeft" activeCell="A3" sqref="A3"/>
      <selection pane="bottomRight" activeCell="C20" sqref="C20"/>
    </sheetView>
  </sheetViews>
  <sheetFormatPr defaultRowHeight="18" x14ac:dyDescent="0.55000000000000004"/>
  <cols>
    <col min="1" max="1" width="2.58203125" customWidth="1"/>
    <col min="2" max="2" width="56.33203125" customWidth="1"/>
    <col min="3" max="3" width="10.33203125" style="128" customWidth="1"/>
    <col min="4" max="4" width="10.1640625" customWidth="1"/>
    <col min="6" max="6" width="2.58203125" customWidth="1"/>
    <col min="7" max="7" width="57.83203125" style="24" customWidth="1"/>
    <col min="8" max="8" width="10.33203125" style="131" customWidth="1"/>
    <col min="9" max="9" width="10.1640625" customWidth="1"/>
    <col min="10" max="15" width="9.83203125" customWidth="1"/>
  </cols>
  <sheetData>
    <row r="1" spans="1:11" s="3" customFormat="1" ht="20" x14ac:dyDescent="0.6">
      <c r="A1" s="5" t="str">
        <f>"Model Parameters ("&amp;MID('0.Contents'!A1,20,(LEN('0.Contents'!A1)-20))&amp;")"</f>
        <v>Model Parameters (Rural Infrastructure Development)</v>
      </c>
      <c r="C1" s="129"/>
      <c r="F1" s="5" t="str">
        <f>"Project Assumptions/Variables ("&amp;MID('0.Contents'!A1,20,(LEN('0.Contents'!A1)-20))&amp;")"</f>
        <v>Project Assumptions/Variables (Rural Infrastructure Development)</v>
      </c>
      <c r="G1" s="26"/>
      <c r="H1" s="134"/>
    </row>
    <row r="2" spans="1:11" ht="18.5" thickBot="1" x14ac:dyDescent="0.6">
      <c r="B2" s="4" t="s">
        <v>23</v>
      </c>
      <c r="C2" s="130"/>
      <c r="D2" s="180"/>
      <c r="E2" s="78"/>
      <c r="G2" s="207" t="s">
        <v>141</v>
      </c>
    </row>
    <row r="3" spans="1:11" ht="18.5" thickBot="1" x14ac:dyDescent="0.6">
      <c r="B3" s="19" t="s">
        <v>98</v>
      </c>
      <c r="C3" s="132" t="s">
        <v>95</v>
      </c>
      <c r="D3" s="324">
        <v>0.02</v>
      </c>
      <c r="E3" s="188" t="s">
        <v>264</v>
      </c>
      <c r="G3" s="28" t="s">
        <v>235</v>
      </c>
      <c r="H3" s="132" t="s">
        <v>94</v>
      </c>
      <c r="I3" s="325">
        <v>30</v>
      </c>
      <c r="J3" s="189" t="s">
        <v>129</v>
      </c>
      <c r="K3" s="190" t="s">
        <v>137</v>
      </c>
    </row>
    <row r="4" spans="1:11" ht="18.5" thickBot="1" x14ac:dyDescent="0.6">
      <c r="B4" s="19" t="s">
        <v>99</v>
      </c>
      <c r="C4" s="132" t="s">
        <v>95</v>
      </c>
      <c r="D4" s="324">
        <v>0.05</v>
      </c>
      <c r="E4" s="188" t="s">
        <v>265</v>
      </c>
      <c r="G4" s="28" t="s">
        <v>100</v>
      </c>
      <c r="H4" s="132" t="s">
        <v>94</v>
      </c>
      <c r="I4" s="325">
        <v>5</v>
      </c>
      <c r="J4" s="189" t="s">
        <v>130</v>
      </c>
      <c r="K4" s="190" t="s">
        <v>138</v>
      </c>
    </row>
    <row r="5" spans="1:11" ht="18.5" thickBot="1" x14ac:dyDescent="0.6">
      <c r="B5" s="181" t="s">
        <v>261</v>
      </c>
      <c r="C5" s="182" t="s">
        <v>95</v>
      </c>
      <c r="D5" s="277">
        <v>0.05</v>
      </c>
      <c r="E5" s="188" t="s">
        <v>265</v>
      </c>
      <c r="G5" s="207" t="s">
        <v>142</v>
      </c>
      <c r="J5" s="189"/>
      <c r="K5" s="128"/>
    </row>
    <row r="6" spans="1:11" ht="18.5" thickBot="1" x14ac:dyDescent="0.6">
      <c r="B6" s="4"/>
      <c r="C6" s="130"/>
      <c r="D6" s="66"/>
      <c r="E6" s="188"/>
      <c r="G6" s="28" t="s">
        <v>229</v>
      </c>
      <c r="H6" s="133" t="s">
        <v>95</v>
      </c>
      <c r="I6" s="326">
        <v>0</v>
      </c>
      <c r="J6" s="189" t="s">
        <v>145</v>
      </c>
      <c r="K6" s="128"/>
    </row>
    <row r="7" spans="1:11" ht="18.5" thickBot="1" x14ac:dyDescent="0.6">
      <c r="B7" s="4" t="s">
        <v>21</v>
      </c>
      <c r="C7" s="130"/>
      <c r="D7" s="76"/>
      <c r="E7" s="188"/>
      <c r="G7" s="207" t="s">
        <v>143</v>
      </c>
      <c r="K7" s="188"/>
    </row>
    <row r="8" spans="1:11" ht="18.5" thickBot="1" x14ac:dyDescent="0.6">
      <c r="B8" s="28" t="s">
        <v>301</v>
      </c>
      <c r="C8" s="130"/>
      <c r="D8" s="325">
        <v>1.1950000000000001</v>
      </c>
      <c r="E8" s="188" t="s">
        <v>146</v>
      </c>
      <c r="G8" s="28" t="s">
        <v>123</v>
      </c>
      <c r="H8" s="133" t="s">
        <v>95</v>
      </c>
      <c r="I8" s="326">
        <v>1</v>
      </c>
      <c r="J8" s="189" t="s">
        <v>131</v>
      </c>
      <c r="K8" s="128"/>
    </row>
    <row r="9" spans="1:11" ht="18.5" thickBot="1" x14ac:dyDescent="0.6">
      <c r="B9" s="181" t="s">
        <v>262</v>
      </c>
      <c r="C9" s="183"/>
      <c r="D9" s="272">
        <v>1.45</v>
      </c>
      <c r="E9" s="188" t="s">
        <v>127</v>
      </c>
      <c r="G9" s="207" t="s">
        <v>160</v>
      </c>
      <c r="K9" s="128"/>
    </row>
    <row r="10" spans="1:11" ht="18.5" thickBot="1" x14ac:dyDescent="0.6">
      <c r="B10" s="4"/>
      <c r="C10" s="130"/>
      <c r="D10" s="180"/>
      <c r="E10" s="188"/>
      <c r="G10" s="28" t="s">
        <v>149</v>
      </c>
      <c r="H10" s="135" t="s">
        <v>101</v>
      </c>
      <c r="I10" s="327">
        <v>35000</v>
      </c>
      <c r="J10" s="189" t="s">
        <v>153</v>
      </c>
      <c r="K10" s="128"/>
    </row>
    <row r="11" spans="1:11" ht="18.5" thickBot="1" x14ac:dyDescent="0.6">
      <c r="B11" s="4" t="s">
        <v>22</v>
      </c>
      <c r="C11" s="130"/>
      <c r="D11" s="76"/>
      <c r="E11" s="188"/>
      <c r="G11" s="28" t="s">
        <v>150</v>
      </c>
      <c r="H11" s="135" t="s">
        <v>95</v>
      </c>
      <c r="I11" s="328">
        <v>1.37E-2</v>
      </c>
      <c r="J11" s="189" t="s">
        <v>152</v>
      </c>
      <c r="K11" s="190" t="s">
        <v>122</v>
      </c>
    </row>
    <row r="12" spans="1:11" ht="18.5" thickBot="1" x14ac:dyDescent="0.6">
      <c r="B12" s="4" t="s">
        <v>97</v>
      </c>
      <c r="C12" s="132" t="s">
        <v>95</v>
      </c>
      <c r="D12" s="324">
        <v>0.12</v>
      </c>
      <c r="E12" s="188" t="s">
        <v>266</v>
      </c>
      <c r="G12" s="28" t="s">
        <v>181</v>
      </c>
      <c r="H12" s="135" t="s">
        <v>151</v>
      </c>
      <c r="I12" s="329">
        <v>5.2</v>
      </c>
      <c r="J12" s="189" t="s">
        <v>154</v>
      </c>
      <c r="K12" s="190" t="s">
        <v>122</v>
      </c>
    </row>
    <row r="13" spans="1:11" ht="18.5" thickBot="1" x14ac:dyDescent="0.6">
      <c r="B13" s="4" t="s">
        <v>102</v>
      </c>
      <c r="C13" s="132" t="s">
        <v>95</v>
      </c>
      <c r="D13" s="324">
        <v>0.12</v>
      </c>
      <c r="E13" s="188" t="s">
        <v>266</v>
      </c>
      <c r="G13" s="28" t="s">
        <v>179</v>
      </c>
      <c r="H13" s="135" t="s">
        <v>101</v>
      </c>
      <c r="I13" s="235">
        <f>ROUND($I$10/$I$12,0)</f>
        <v>6731</v>
      </c>
      <c r="K13" s="128"/>
    </row>
    <row r="14" spans="1:11" ht="18.5" thickBot="1" x14ac:dyDescent="0.6">
      <c r="B14" s="4"/>
      <c r="C14" s="130"/>
      <c r="D14" s="273"/>
      <c r="E14" s="188"/>
      <c r="G14" s="28" t="s">
        <v>157</v>
      </c>
      <c r="H14" s="135" t="s">
        <v>95</v>
      </c>
      <c r="I14" s="330">
        <v>0.45</v>
      </c>
      <c r="J14" s="189" t="s">
        <v>156</v>
      </c>
      <c r="K14" s="128"/>
    </row>
    <row r="15" spans="1:11" ht="18.5" thickBot="1" x14ac:dyDescent="0.6">
      <c r="B15" s="181" t="s">
        <v>263</v>
      </c>
      <c r="C15" s="182" t="s">
        <v>96</v>
      </c>
      <c r="D15" s="274">
        <v>100</v>
      </c>
      <c r="E15" s="188" t="s">
        <v>128</v>
      </c>
      <c r="G15" s="28" t="s">
        <v>155</v>
      </c>
      <c r="H15" s="135" t="s">
        <v>101</v>
      </c>
      <c r="I15" s="235">
        <f>ROUND($I$13*$I$14,0)</f>
        <v>3029</v>
      </c>
      <c r="K15" s="188"/>
    </row>
    <row r="16" spans="1:11" ht="18.5" thickBot="1" x14ac:dyDescent="0.6">
      <c r="C16" s="131"/>
      <c r="G16" s="28" t="s">
        <v>207</v>
      </c>
      <c r="H16" s="135" t="s">
        <v>95</v>
      </c>
      <c r="I16" s="330">
        <v>7.4999999999999997E-2</v>
      </c>
      <c r="J16" s="189" t="s">
        <v>232</v>
      </c>
      <c r="K16" s="128"/>
    </row>
    <row r="17" spans="2:11" ht="18.5" thickBot="1" x14ac:dyDescent="0.6">
      <c r="B17" s="276" t="s">
        <v>125</v>
      </c>
      <c r="C17" s="178"/>
      <c r="G17" s="28" t="s">
        <v>205</v>
      </c>
      <c r="H17" s="135" t="s">
        <v>101</v>
      </c>
      <c r="I17" s="235">
        <f>ROUND($I$13*$I$16,0)</f>
        <v>505</v>
      </c>
    </row>
    <row r="18" spans="2:11" ht="18.5" thickBot="1" x14ac:dyDescent="0.6">
      <c r="G18" s="28" t="s">
        <v>158</v>
      </c>
      <c r="H18" s="135" t="s">
        <v>95</v>
      </c>
      <c r="I18" s="330">
        <v>0.2</v>
      </c>
      <c r="J18" s="189" t="s">
        <v>159</v>
      </c>
      <c r="K18" s="128"/>
    </row>
    <row r="19" spans="2:11" ht="18.5" thickBot="1" x14ac:dyDescent="0.6">
      <c r="G19" s="28" t="s">
        <v>180</v>
      </c>
      <c r="H19" s="135" t="s">
        <v>101</v>
      </c>
      <c r="I19" s="235">
        <f>ROUND($I$10*$I$18,0)</f>
        <v>7000</v>
      </c>
      <c r="K19" s="188"/>
    </row>
    <row r="20" spans="2:11" ht="18.5" thickBot="1" x14ac:dyDescent="0.6">
      <c r="G20" s="28" t="s">
        <v>166</v>
      </c>
      <c r="H20" s="135" t="s">
        <v>95</v>
      </c>
      <c r="I20" s="330">
        <v>0.1</v>
      </c>
      <c r="J20" s="189" t="s">
        <v>167</v>
      </c>
      <c r="K20" s="128"/>
    </row>
    <row r="21" spans="2:11" ht="18.5" thickBot="1" x14ac:dyDescent="0.6">
      <c r="G21" s="28" t="s">
        <v>204</v>
      </c>
      <c r="H21" s="135" t="s">
        <v>95</v>
      </c>
      <c r="I21" s="330">
        <v>0.1</v>
      </c>
      <c r="J21" s="189" t="s">
        <v>167</v>
      </c>
    </row>
    <row r="22" spans="2:11" ht="18.5" thickBot="1" x14ac:dyDescent="0.6">
      <c r="G22" s="28" t="s">
        <v>186</v>
      </c>
      <c r="H22" s="135" t="s">
        <v>95</v>
      </c>
      <c r="I22" s="330">
        <v>0.5</v>
      </c>
      <c r="J22" s="189" t="s">
        <v>187</v>
      </c>
    </row>
    <row r="23" spans="2:11" ht="18.5" thickBot="1" x14ac:dyDescent="0.6">
      <c r="G23" s="28" t="s">
        <v>243</v>
      </c>
      <c r="H23" s="135" t="s">
        <v>95</v>
      </c>
      <c r="I23" s="330">
        <v>0.5</v>
      </c>
      <c r="J23" s="189" t="s">
        <v>187</v>
      </c>
    </row>
    <row r="24" spans="2:11" ht="18.5" thickBot="1" x14ac:dyDescent="0.6">
      <c r="G24" s="28" t="s">
        <v>189</v>
      </c>
      <c r="H24" s="135" t="s">
        <v>95</v>
      </c>
      <c r="I24" s="330">
        <v>0.08</v>
      </c>
      <c r="J24" s="189" t="s">
        <v>188</v>
      </c>
    </row>
    <row r="25" spans="2:11" ht="18.5" thickBot="1" x14ac:dyDescent="0.6">
      <c r="G25" s="28" t="s">
        <v>190</v>
      </c>
      <c r="H25" s="208" t="s">
        <v>191</v>
      </c>
      <c r="I25" s="331">
        <v>173</v>
      </c>
      <c r="J25" s="189" t="s">
        <v>192</v>
      </c>
    </row>
    <row r="26" spans="2:11" ht="18.5" thickBot="1" x14ac:dyDescent="0.6">
      <c r="G26" s="28" t="s">
        <v>201</v>
      </c>
      <c r="H26" s="135" t="s">
        <v>95</v>
      </c>
      <c r="I26" s="330">
        <v>0.7</v>
      </c>
      <c r="J26" s="189" t="s">
        <v>193</v>
      </c>
    </row>
    <row r="27" spans="2:11" ht="18.5" thickBot="1" x14ac:dyDescent="0.6">
      <c r="G27" s="28" t="s">
        <v>177</v>
      </c>
      <c r="H27" s="135" t="s">
        <v>101</v>
      </c>
      <c r="I27" s="327">
        <v>13000</v>
      </c>
      <c r="J27" s="189" t="s">
        <v>242</v>
      </c>
    </row>
    <row r="28" spans="2:11" ht="18.5" thickBot="1" x14ac:dyDescent="0.6">
      <c r="G28" s="28" t="s">
        <v>218</v>
      </c>
      <c r="H28" s="135" t="s">
        <v>95</v>
      </c>
      <c r="I28" s="328">
        <v>1.37E-2</v>
      </c>
      <c r="J28" s="189" t="s">
        <v>152</v>
      </c>
    </row>
    <row r="29" spans="2:11" ht="18.5" thickBot="1" x14ac:dyDescent="0.6">
      <c r="G29" s="28" t="s">
        <v>182</v>
      </c>
      <c r="H29" s="135" t="s">
        <v>151</v>
      </c>
      <c r="I29" s="329">
        <v>5.2</v>
      </c>
      <c r="J29" s="189" t="s">
        <v>154</v>
      </c>
    </row>
    <row r="30" spans="2:11" x14ac:dyDescent="0.55000000000000004">
      <c r="G30" s="28" t="s">
        <v>178</v>
      </c>
      <c r="H30" s="135" t="s">
        <v>101</v>
      </c>
      <c r="I30" s="236">
        <f>$I$27/$I$29</f>
        <v>2500</v>
      </c>
      <c r="J30" s="189"/>
    </row>
    <row r="31" spans="2:11" ht="18.5" thickBot="1" x14ac:dyDescent="0.6">
      <c r="G31" s="207" t="s">
        <v>161</v>
      </c>
    </row>
    <row r="32" spans="2:11" ht="18.5" thickBot="1" x14ac:dyDescent="0.6">
      <c r="G32" s="28" t="s">
        <v>183</v>
      </c>
      <c r="H32" s="132" t="s">
        <v>162</v>
      </c>
      <c r="I32" s="327">
        <v>12000</v>
      </c>
      <c r="J32" s="189" t="s">
        <v>163</v>
      </c>
    </row>
    <row r="33" spans="1:15" ht="18.5" thickBot="1" x14ac:dyDescent="0.6">
      <c r="G33" s="28" t="s">
        <v>230</v>
      </c>
      <c r="H33" s="132" t="s">
        <v>162</v>
      </c>
      <c r="I33" s="327">
        <v>25000</v>
      </c>
      <c r="J33" s="189" t="s">
        <v>164</v>
      </c>
    </row>
    <row r="34" spans="1:15" ht="18.5" thickBot="1" x14ac:dyDescent="0.6">
      <c r="G34" s="28" t="s">
        <v>165</v>
      </c>
      <c r="H34" s="135" t="s">
        <v>95</v>
      </c>
      <c r="I34" s="330">
        <v>0.2</v>
      </c>
      <c r="J34" s="189" t="s">
        <v>159</v>
      </c>
    </row>
    <row r="35" spans="1:15" ht="18.5" thickBot="1" x14ac:dyDescent="0.6">
      <c r="G35" s="28" t="s">
        <v>231</v>
      </c>
      <c r="H35" s="135" t="s">
        <v>95</v>
      </c>
      <c r="I35" s="330">
        <v>0.25</v>
      </c>
      <c r="J35" s="189" t="s">
        <v>203</v>
      </c>
    </row>
    <row r="36" spans="1:15" ht="18.5" thickBot="1" x14ac:dyDescent="0.6">
      <c r="G36" s="28" t="s">
        <v>171</v>
      </c>
      <c r="H36" s="132" t="s">
        <v>170</v>
      </c>
      <c r="I36" s="327">
        <v>209000</v>
      </c>
      <c r="J36" s="189" t="s">
        <v>169</v>
      </c>
    </row>
    <row r="37" spans="1:15" ht="18.5" thickBot="1" x14ac:dyDescent="0.6">
      <c r="G37" s="28" t="s">
        <v>172</v>
      </c>
      <c r="H37" s="130" t="s">
        <v>94</v>
      </c>
      <c r="I37" s="327">
        <v>35</v>
      </c>
      <c r="J37" s="189" t="s">
        <v>173</v>
      </c>
    </row>
    <row r="38" spans="1:15" ht="18.5" thickBot="1" x14ac:dyDescent="0.6">
      <c r="G38" s="28" t="s">
        <v>174</v>
      </c>
      <c r="H38" s="130" t="s">
        <v>175</v>
      </c>
      <c r="I38" s="332">
        <v>32.81</v>
      </c>
      <c r="J38" s="189" t="s">
        <v>176</v>
      </c>
    </row>
    <row r="39" spans="1:15" ht="18.5" thickBot="1" x14ac:dyDescent="0.6">
      <c r="G39" s="28" t="s">
        <v>171</v>
      </c>
      <c r="H39" s="132" t="s">
        <v>168</v>
      </c>
      <c r="I39" s="236">
        <f>I36/I37*I38</f>
        <v>195922.57142857145</v>
      </c>
      <c r="J39" s="189"/>
    </row>
    <row r="40" spans="1:15" ht="18.5" thickBot="1" x14ac:dyDescent="0.6">
      <c r="G40" s="28" t="s">
        <v>240</v>
      </c>
      <c r="H40" s="132" t="s">
        <v>208</v>
      </c>
      <c r="I40" s="327">
        <v>1909355</v>
      </c>
      <c r="J40" s="189" t="s">
        <v>209</v>
      </c>
    </row>
    <row r="41" spans="1:15" ht="18.5" thickBot="1" x14ac:dyDescent="0.6">
      <c r="G41" s="28" t="s">
        <v>241</v>
      </c>
      <c r="H41" s="132" t="s">
        <v>168</v>
      </c>
      <c r="I41" s="237">
        <f>I40/I37</f>
        <v>54553</v>
      </c>
    </row>
    <row r="42" spans="1:15" ht="18.5" thickBot="1" x14ac:dyDescent="0.6">
      <c r="G42" s="28" t="s">
        <v>184</v>
      </c>
      <c r="H42" s="132" t="s">
        <v>162</v>
      </c>
      <c r="I42" s="327">
        <v>23000</v>
      </c>
      <c r="J42" s="189" t="s">
        <v>185</v>
      </c>
    </row>
    <row r="43" spans="1:15" ht="18.5" thickBot="1" x14ac:dyDescent="0.6">
      <c r="G43" s="28" t="s">
        <v>236</v>
      </c>
      <c r="H43" s="135" t="s">
        <v>95</v>
      </c>
      <c r="I43" s="330">
        <v>0.04</v>
      </c>
      <c r="J43" s="189" t="s">
        <v>224</v>
      </c>
    </row>
    <row r="44" spans="1:15" ht="18.5" thickBot="1" x14ac:dyDescent="0.6">
      <c r="G44" s="207" t="s">
        <v>147</v>
      </c>
    </row>
    <row r="45" spans="1:15" ht="18.5" thickBot="1" x14ac:dyDescent="0.6">
      <c r="G45" s="28" t="s">
        <v>148</v>
      </c>
      <c r="H45" s="135" t="s">
        <v>95</v>
      </c>
      <c r="I45" s="330">
        <v>0.1</v>
      </c>
      <c r="J45" s="189" t="s">
        <v>167</v>
      </c>
    </row>
    <row r="47" spans="1:15" s="3" customFormat="1" ht="20" x14ac:dyDescent="0.6">
      <c r="A47" s="5" t="str">
        <f>"Sensitivity Analysis ("&amp;MID('0.Contents'!A1,20,(LEN('0.Contents'!A1)-20))&amp;")"</f>
        <v>Sensitivity Analysis (Rural Infrastructure Development)</v>
      </c>
      <c r="C47" s="129"/>
      <c r="G47" s="26"/>
      <c r="H47" s="134"/>
    </row>
    <row r="48" spans="1:15" ht="20" x14ac:dyDescent="0.6">
      <c r="B48" s="4" t="s">
        <v>115</v>
      </c>
      <c r="C48" s="133" t="s">
        <v>95</v>
      </c>
      <c r="D48" s="275">
        <v>1</v>
      </c>
      <c r="E48" s="188" t="s">
        <v>131</v>
      </c>
      <c r="F48" s="6"/>
      <c r="G48" s="363" t="s">
        <v>107</v>
      </c>
      <c r="H48" s="156"/>
      <c r="I48" s="365" t="s">
        <v>74</v>
      </c>
      <c r="J48" s="367" t="s">
        <v>92</v>
      </c>
      <c r="K48" s="368"/>
      <c r="L48" s="369"/>
      <c r="M48" s="368" t="s">
        <v>93</v>
      </c>
      <c r="N48" s="368"/>
      <c r="O48" s="368"/>
    </row>
    <row r="49" spans="2:16" ht="20" x14ac:dyDescent="0.6">
      <c r="B49" s="4" t="s">
        <v>116</v>
      </c>
      <c r="C49" s="133" t="s">
        <v>95</v>
      </c>
      <c r="D49" s="275">
        <v>1</v>
      </c>
      <c r="E49" s="188" t="s">
        <v>131</v>
      </c>
      <c r="F49" s="6"/>
      <c r="G49" s="364"/>
      <c r="H49" s="157"/>
      <c r="I49" s="366"/>
      <c r="J49" s="158" t="s">
        <v>104</v>
      </c>
      <c r="K49" s="11" t="s">
        <v>105</v>
      </c>
      <c r="L49" s="159" t="s">
        <v>106</v>
      </c>
      <c r="M49" s="11" t="s">
        <v>104</v>
      </c>
      <c r="N49" s="11" t="s">
        <v>105</v>
      </c>
      <c r="O49" s="11" t="s">
        <v>106</v>
      </c>
    </row>
    <row r="50" spans="2:16" ht="20" x14ac:dyDescent="0.6">
      <c r="F50" s="6"/>
      <c r="G50" s="37" t="s">
        <v>112</v>
      </c>
      <c r="H50" s="139" t="s">
        <v>113</v>
      </c>
      <c r="I50" s="164">
        <f>D48</f>
        <v>1</v>
      </c>
      <c r="J50" s="143">
        <f>'4a.FAnalysis'!$C$22</f>
        <v>-3781.0194605355032</v>
      </c>
      <c r="K50" s="192">
        <f>'4a.FAnalysis'!$C$23</f>
        <v>0</v>
      </c>
      <c r="L50" s="144" t="str">
        <f>'4a.FAnalysis'!$C$24</f>
        <v xml:space="preserve">        n/a</v>
      </c>
      <c r="M50" s="40">
        <f>'7a.EAnalysis'!$C$30</f>
        <v>2531.2602835951411</v>
      </c>
      <c r="N50" s="192">
        <f>'7a.EAnalysis'!$C$31</f>
        <v>1.5489833835484563</v>
      </c>
      <c r="O50" s="140">
        <f>'7a.EAnalysis'!$C$32</f>
        <v>0.20389887128333317</v>
      </c>
      <c r="P50" s="190" t="s">
        <v>136</v>
      </c>
    </row>
    <row r="51" spans="2:16" ht="20" x14ac:dyDescent="0.6">
      <c r="F51" s="6"/>
      <c r="I51" s="333">
        <v>0.8</v>
      </c>
      <c r="J51" s="145">
        <f t="dataTable" ref="J51:O55" dt2D="0" dtr="0" r1="D48"/>
        <v>-3781.0194605355032</v>
      </c>
      <c r="K51" s="187">
        <v>0</v>
      </c>
      <c r="L51" s="146" t="str">
        <v xml:space="preserve">        n/a</v>
      </c>
      <c r="M51" s="38">
        <v>1102.8454221537286</v>
      </c>
      <c r="N51" s="187">
        <v>1.2391867068387648</v>
      </c>
      <c r="O51" s="141">
        <v>0.15968536338906936</v>
      </c>
    </row>
    <row r="52" spans="2:16" ht="20" x14ac:dyDescent="0.6">
      <c r="F52" s="6"/>
      <c r="I52" s="333">
        <v>0.9</v>
      </c>
      <c r="J52" s="145">
        <v>-3781.0194605355032</v>
      </c>
      <c r="K52" s="187">
        <v>0</v>
      </c>
      <c r="L52" s="146" t="str">
        <v xml:space="preserve">        n/a</v>
      </c>
      <c r="M52" s="38">
        <v>1817.0528528744342</v>
      </c>
      <c r="N52" s="187">
        <v>1.3940850451936104</v>
      </c>
      <c r="O52" s="141">
        <v>0.18258583598250211</v>
      </c>
    </row>
    <row r="53" spans="2:16" ht="20" x14ac:dyDescent="0.6">
      <c r="F53" s="6"/>
      <c r="I53" s="333">
        <v>1</v>
      </c>
      <c r="J53" s="145">
        <v>-3781.0194605355032</v>
      </c>
      <c r="K53" s="187">
        <v>0</v>
      </c>
      <c r="L53" s="146" t="str">
        <v xml:space="preserve">        n/a</v>
      </c>
      <c r="M53" s="38">
        <v>2531.2602835951411</v>
      </c>
      <c r="N53" s="187">
        <v>1.5489833835484563</v>
      </c>
      <c r="O53" s="141">
        <v>0.20389887128333317</v>
      </c>
    </row>
    <row r="54" spans="2:16" ht="20" x14ac:dyDescent="0.6">
      <c r="F54" s="6"/>
      <c r="I54" s="333">
        <v>1.1000000000000001</v>
      </c>
      <c r="J54" s="145">
        <v>-3781.0194605355032</v>
      </c>
      <c r="K54" s="187">
        <v>0</v>
      </c>
      <c r="L54" s="146" t="str">
        <v xml:space="preserve">        n/a</v>
      </c>
      <c r="M54" s="38">
        <v>3245.4677143158474</v>
      </c>
      <c r="N54" s="187">
        <v>1.7038817219033011</v>
      </c>
      <c r="O54" s="141">
        <v>0.22393179886766013</v>
      </c>
    </row>
    <row r="55" spans="2:16" ht="20" x14ac:dyDescent="0.6">
      <c r="F55" s="6"/>
      <c r="G55" s="179"/>
      <c r="H55" s="142"/>
      <c r="I55" s="334">
        <v>1.2</v>
      </c>
      <c r="J55" s="147">
        <v>-3781.0194605355032</v>
      </c>
      <c r="K55" s="195">
        <v>0</v>
      </c>
      <c r="L55" s="148" t="str">
        <v xml:space="preserve">        n/a</v>
      </c>
      <c r="M55" s="43">
        <v>3959.6751450365532</v>
      </c>
      <c r="N55" s="195">
        <v>1.8587800602581466</v>
      </c>
      <c r="O55" s="120">
        <v>0.24289593920476604</v>
      </c>
    </row>
    <row r="56" spans="2:16" ht="20" x14ac:dyDescent="0.6">
      <c r="F56" s="6"/>
      <c r="G56" s="363" t="s">
        <v>107</v>
      </c>
      <c r="H56" s="156"/>
      <c r="I56" s="365" t="s">
        <v>74</v>
      </c>
      <c r="J56" s="367" t="s">
        <v>92</v>
      </c>
      <c r="K56" s="368"/>
      <c r="L56" s="369"/>
      <c r="M56" s="368" t="s">
        <v>93</v>
      </c>
      <c r="N56" s="368"/>
      <c r="O56" s="368"/>
    </row>
    <row r="57" spans="2:16" ht="20" x14ac:dyDescent="0.6">
      <c r="F57" s="6"/>
      <c r="G57" s="364"/>
      <c r="H57" s="157"/>
      <c r="I57" s="366"/>
      <c r="J57" s="158" t="s">
        <v>104</v>
      </c>
      <c r="K57" s="11" t="s">
        <v>105</v>
      </c>
      <c r="L57" s="159" t="s">
        <v>106</v>
      </c>
      <c r="M57" s="11" t="s">
        <v>104</v>
      </c>
      <c r="N57" s="11" t="s">
        <v>105</v>
      </c>
      <c r="O57" s="11" t="s">
        <v>106</v>
      </c>
    </row>
    <row r="58" spans="2:16" ht="20" x14ac:dyDescent="0.6">
      <c r="F58" s="6"/>
      <c r="G58" s="37" t="s">
        <v>114</v>
      </c>
      <c r="H58" s="139" t="s">
        <v>113</v>
      </c>
      <c r="I58" s="164">
        <f>D49</f>
        <v>1</v>
      </c>
      <c r="J58" s="143">
        <f>'4a.FAnalysis'!$C$22</f>
        <v>-3781.0194605355032</v>
      </c>
      <c r="K58" s="192">
        <f>'4a.FAnalysis'!$C$23</f>
        <v>0</v>
      </c>
      <c r="L58" s="144" t="str">
        <f>'4a.FAnalysis'!$C$24</f>
        <v xml:space="preserve">        n/a</v>
      </c>
      <c r="M58" s="40">
        <f>'7a.EAnalysis'!$C$30</f>
        <v>2531.2602835951411</v>
      </c>
      <c r="N58" s="192">
        <f>'7a.EAnalysis'!$C$31</f>
        <v>1.5489833835484563</v>
      </c>
      <c r="O58" s="140">
        <f>'7a.EAnalysis'!$C$32</f>
        <v>0.20389887128333317</v>
      </c>
      <c r="P58" s="190" t="s">
        <v>136</v>
      </c>
    </row>
    <row r="59" spans="2:16" ht="20" x14ac:dyDescent="0.6">
      <c r="F59" s="6"/>
      <c r="I59" s="333">
        <v>0.8</v>
      </c>
      <c r="J59" s="145">
        <f t="dataTable" ref="J59:O63" dt2D="0" dtr="0" r1="D49" ca="1"/>
        <v>-3022.9233942277324</v>
      </c>
      <c r="K59" s="187">
        <v>0</v>
      </c>
      <c r="L59" s="146" t="str">
        <v xml:space="preserve">        n/a</v>
      </c>
      <c r="M59" s="38">
        <v>3455.0064976904714</v>
      </c>
      <c r="N59" s="187">
        <v>1.9370607420815127</v>
      </c>
      <c r="O59" s="141">
        <v>0.25203316976626788</v>
      </c>
    </row>
    <row r="60" spans="2:16" ht="20" x14ac:dyDescent="0.6">
      <c r="F60" s="6"/>
      <c r="I60" s="333">
        <v>0.9</v>
      </c>
      <c r="J60" s="145">
        <v>-3401.9714273816176</v>
      </c>
      <c r="K60" s="187">
        <v>0</v>
      </c>
      <c r="L60" s="146" t="str">
        <v xml:space="preserve">        n/a</v>
      </c>
      <c r="M60" s="38">
        <v>2993.1333906428063</v>
      </c>
      <c r="N60" s="187">
        <v>1.7214210688547056</v>
      </c>
      <c r="O60" s="141">
        <v>0.2260931340512935</v>
      </c>
    </row>
    <row r="61" spans="2:16" ht="20" x14ac:dyDescent="0.6">
      <c r="F61" s="6"/>
      <c r="I61" s="333">
        <v>1</v>
      </c>
      <c r="J61" s="145">
        <v>-3781.0194605355032</v>
      </c>
      <c r="K61" s="187">
        <v>0</v>
      </c>
      <c r="L61" s="146" t="str">
        <v xml:space="preserve">        n/a</v>
      </c>
      <c r="M61" s="38">
        <v>2531.2602835951411</v>
      </c>
      <c r="N61" s="187">
        <v>1.5489833835484563</v>
      </c>
      <c r="O61" s="141">
        <v>0.20389887128333317</v>
      </c>
    </row>
    <row r="62" spans="2:16" ht="20" x14ac:dyDescent="0.6">
      <c r="F62" s="6"/>
      <c r="I62" s="333">
        <v>1.1000000000000001</v>
      </c>
      <c r="J62" s="145">
        <v>-4160.0674936893929</v>
      </c>
      <c r="K62" s="187">
        <v>0</v>
      </c>
      <c r="L62" s="146" t="str">
        <v xml:space="preserve">        n/a</v>
      </c>
      <c r="M62" s="38">
        <v>2069.3871765474751</v>
      </c>
      <c r="N62" s="187">
        <v>1.4079469368493063</v>
      </c>
      <c r="O62" s="141">
        <v>0.1845752054442058</v>
      </c>
    </row>
    <row r="63" spans="2:16" ht="20" x14ac:dyDescent="0.6">
      <c r="F63" s="6"/>
      <c r="G63" s="179"/>
      <c r="H63" s="142"/>
      <c r="I63" s="334">
        <v>1.2</v>
      </c>
      <c r="J63" s="147">
        <v>-4539.1155268432767</v>
      </c>
      <c r="K63" s="195">
        <v>0</v>
      </c>
      <c r="L63" s="148" t="str">
        <v xml:space="preserve">        n/a</v>
      </c>
      <c r="M63" s="43">
        <v>1607.5140694998104</v>
      </c>
      <c r="N63" s="195">
        <v>1.2904501894383109</v>
      </c>
      <c r="O63" s="120">
        <v>0.1674991657939342</v>
      </c>
    </row>
    <row r="64" spans="2:16" x14ac:dyDescent="0.55000000000000004">
      <c r="G64" s="363" t="s">
        <v>107</v>
      </c>
      <c r="H64" s="156"/>
      <c r="I64" s="365" t="s">
        <v>74</v>
      </c>
      <c r="J64" s="367" t="s">
        <v>92</v>
      </c>
      <c r="K64" s="368"/>
      <c r="L64" s="369"/>
      <c r="M64" s="368" t="s">
        <v>93</v>
      </c>
      <c r="N64" s="368"/>
      <c r="O64" s="368"/>
    </row>
    <row r="65" spans="7:16" x14ac:dyDescent="0.55000000000000004">
      <c r="G65" s="364"/>
      <c r="H65" s="157"/>
      <c r="I65" s="366"/>
      <c r="J65" s="158" t="s">
        <v>104</v>
      </c>
      <c r="K65" s="11" t="s">
        <v>105</v>
      </c>
      <c r="L65" s="159" t="s">
        <v>106</v>
      </c>
      <c r="M65" s="11" t="s">
        <v>104</v>
      </c>
      <c r="N65" s="11" t="s">
        <v>105</v>
      </c>
      <c r="O65" s="11" t="s">
        <v>106</v>
      </c>
    </row>
    <row r="66" spans="7:16" x14ac:dyDescent="0.55000000000000004">
      <c r="G66" s="221" t="str">
        <f>G10</f>
        <v>Total Population</v>
      </c>
      <c r="H66" s="224" t="str">
        <f>H10</f>
        <v>(#)</v>
      </c>
      <c r="I66" s="220">
        <f>I10</f>
        <v>35000</v>
      </c>
      <c r="J66" s="143">
        <f>'4a.FAnalysis'!$C$22</f>
        <v>-3781.0194605355032</v>
      </c>
      <c r="K66" s="192">
        <f>'4a.FAnalysis'!$C$23</f>
        <v>0</v>
      </c>
      <c r="L66" s="144" t="str">
        <f>'4a.FAnalysis'!$C$24</f>
        <v xml:space="preserve">        n/a</v>
      </c>
      <c r="M66" s="40">
        <f>'7a.EAnalysis'!$C$30</f>
        <v>2531.2602835951411</v>
      </c>
      <c r="N66" s="192">
        <f>'7a.EAnalysis'!$C$31</f>
        <v>1.5489833835484563</v>
      </c>
      <c r="O66" s="140">
        <f>'7a.EAnalysis'!$C$32</f>
        <v>0.20389887128333317</v>
      </c>
      <c r="P66" s="190" t="s">
        <v>136</v>
      </c>
    </row>
    <row r="67" spans="7:16" x14ac:dyDescent="0.55000000000000004">
      <c r="I67" s="335">
        <v>25000</v>
      </c>
      <c r="J67" s="145">
        <f t="dataTable" ref="J67:O71" dt2D="0" dtr="0" r1="I10" ca="1"/>
        <v>-3781.0194605355032</v>
      </c>
      <c r="K67" s="187">
        <v>0</v>
      </c>
      <c r="L67" s="146" t="str">
        <v xml:space="preserve">        n/a</v>
      </c>
      <c r="M67" s="38">
        <v>492.67688846386056</v>
      </c>
      <c r="N67" s="187">
        <v>1.1068524746261439</v>
      </c>
      <c r="O67" s="141">
        <v>0.13851320672941059</v>
      </c>
    </row>
    <row r="68" spans="7:16" x14ac:dyDescent="0.55000000000000004">
      <c r="I68" s="335">
        <v>30000</v>
      </c>
      <c r="J68" s="145">
        <v>-3781.0194605355032</v>
      </c>
      <c r="K68" s="187">
        <v>0</v>
      </c>
      <c r="L68" s="146" t="str">
        <v xml:space="preserve">        n/a</v>
      </c>
      <c r="M68" s="38">
        <v>1513.4977845713531</v>
      </c>
      <c r="N68" s="187">
        <v>1.3282495838740731</v>
      </c>
      <c r="O68" s="141">
        <v>0.17306794161665406</v>
      </c>
    </row>
    <row r="69" spans="7:16" x14ac:dyDescent="0.55000000000000004">
      <c r="I69" s="335">
        <v>35000</v>
      </c>
      <c r="J69" s="145">
        <v>-3781.0194605355032</v>
      </c>
      <c r="K69" s="187">
        <v>0</v>
      </c>
      <c r="L69" s="146" t="str">
        <v xml:space="preserve">        n/a</v>
      </c>
      <c r="M69" s="38">
        <v>2531.2602835951411</v>
      </c>
      <c r="N69" s="187">
        <v>1.5489833835484563</v>
      </c>
      <c r="O69" s="141">
        <v>0.20389887128333317</v>
      </c>
    </row>
    <row r="70" spans="7:16" x14ac:dyDescent="0.55000000000000004">
      <c r="I70" s="335">
        <v>40000</v>
      </c>
      <c r="J70" s="145">
        <v>-3781.0194605355032</v>
      </c>
      <c r="K70" s="187">
        <v>0</v>
      </c>
      <c r="L70" s="146" t="str">
        <v xml:space="preserve">        n/a</v>
      </c>
      <c r="M70" s="38">
        <v>3552.732285881737</v>
      </c>
      <c r="N70" s="187">
        <v>1.7705217056442182</v>
      </c>
      <c r="O70" s="141">
        <v>0.23221357694992872</v>
      </c>
    </row>
    <row r="71" spans="7:16" x14ac:dyDescent="0.55000000000000004">
      <c r="G71" s="179"/>
      <c r="H71" s="142"/>
      <c r="I71" s="336">
        <v>45000</v>
      </c>
      <c r="J71" s="147">
        <v>-3781.0194605355032</v>
      </c>
      <c r="K71" s="195">
        <v>0</v>
      </c>
      <c r="L71" s="148" t="str">
        <v xml:space="preserve">        n/a</v>
      </c>
      <c r="M71" s="43">
        <v>4572.4749097665908</v>
      </c>
      <c r="N71" s="195">
        <v>1.9916849576562854</v>
      </c>
      <c r="O71" s="120">
        <v>0.25843887221015405</v>
      </c>
    </row>
    <row r="72" spans="7:16" x14ac:dyDescent="0.55000000000000004">
      <c r="G72" s="363" t="s">
        <v>107</v>
      </c>
      <c r="H72" s="130"/>
      <c r="I72" s="365" t="s">
        <v>74</v>
      </c>
      <c r="J72" s="367" t="s">
        <v>92</v>
      </c>
      <c r="K72" s="368"/>
      <c r="L72" s="369"/>
      <c r="M72" s="371" t="s">
        <v>93</v>
      </c>
      <c r="N72" s="371"/>
      <c r="O72" s="371"/>
    </row>
    <row r="73" spans="7:16" x14ac:dyDescent="0.55000000000000004">
      <c r="G73" s="364"/>
      <c r="H73" s="130"/>
      <c r="I73" s="366"/>
      <c r="J73" s="160" t="s">
        <v>104</v>
      </c>
      <c r="K73" s="80" t="s">
        <v>105</v>
      </c>
      <c r="L73" s="161" t="s">
        <v>106</v>
      </c>
      <c r="M73" s="80" t="s">
        <v>104</v>
      </c>
      <c r="N73" s="80" t="s">
        <v>105</v>
      </c>
      <c r="O73" s="80" t="s">
        <v>106</v>
      </c>
    </row>
    <row r="74" spans="7:16" x14ac:dyDescent="0.55000000000000004">
      <c r="G74" s="222" t="str">
        <f>G14</f>
        <v>Percent of Agricultural Households in Total Households</v>
      </c>
      <c r="H74" s="225" t="str">
        <f>H14</f>
        <v>(%)</v>
      </c>
      <c r="I74" s="154">
        <f>I14</f>
        <v>0.45</v>
      </c>
      <c r="J74" s="143">
        <f>'4a.FAnalysis'!$C$22</f>
        <v>-3781.0194605355032</v>
      </c>
      <c r="K74" s="192">
        <f>'4a.FAnalysis'!$C$23</f>
        <v>0</v>
      </c>
      <c r="L74" s="144" t="str">
        <f>'4a.FAnalysis'!$C$24</f>
        <v xml:space="preserve">        n/a</v>
      </c>
      <c r="M74" s="40">
        <f>'7a.EAnalysis'!$C$30</f>
        <v>2531.2602835951411</v>
      </c>
      <c r="N74" s="192">
        <f>'7a.EAnalysis'!$C$31</f>
        <v>1.5489833835484563</v>
      </c>
      <c r="O74" s="140">
        <f>'7a.EAnalysis'!$C$32</f>
        <v>0.20389887128333317</v>
      </c>
      <c r="P74" s="190" t="s">
        <v>136</v>
      </c>
    </row>
    <row r="75" spans="7:16" x14ac:dyDescent="0.55000000000000004">
      <c r="I75" s="337">
        <v>0.35</v>
      </c>
      <c r="J75" s="149">
        <f t="dataTable" ref="J75:O79" dt2D="0" dtr="0" r1="I14" ca="1"/>
        <v>-3781.0194605355032</v>
      </c>
      <c r="K75" s="187">
        <v>0</v>
      </c>
      <c r="L75" s="146" t="str">
        <v xml:space="preserve">        n/a</v>
      </c>
      <c r="M75" s="38">
        <v>1515.373659093457</v>
      </c>
      <c r="N75" s="187">
        <v>1.3286564262477838</v>
      </c>
      <c r="O75" s="141">
        <v>0.17294946394640753</v>
      </c>
    </row>
    <row r="76" spans="7:16" x14ac:dyDescent="0.55000000000000004">
      <c r="I76" s="337">
        <v>0.4</v>
      </c>
      <c r="J76" s="149">
        <v>-3781.0194605355032</v>
      </c>
      <c r="K76" s="187">
        <v>0</v>
      </c>
      <c r="L76" s="146" t="str">
        <v xml:space="preserve">        n/a</v>
      </c>
      <c r="M76" s="38">
        <v>2023.2707636080768</v>
      </c>
      <c r="N76" s="187">
        <v>1.4388098832975986</v>
      </c>
      <c r="O76" s="141">
        <v>0.18877755562351961</v>
      </c>
    </row>
    <row r="77" spans="7:16" x14ac:dyDescent="0.55000000000000004">
      <c r="I77" s="337">
        <v>0.45</v>
      </c>
      <c r="J77" s="149">
        <v>-3781.0194605355032</v>
      </c>
      <c r="K77" s="187">
        <v>0</v>
      </c>
      <c r="L77" s="146" t="str">
        <v xml:space="preserve">        n/a</v>
      </c>
      <c r="M77" s="38">
        <v>2531.2602835951411</v>
      </c>
      <c r="N77" s="187">
        <v>1.5489833835484563</v>
      </c>
      <c r="O77" s="141">
        <v>0.20389887128333317</v>
      </c>
    </row>
    <row r="78" spans="7:16" x14ac:dyDescent="0.55000000000000004">
      <c r="I78" s="337">
        <v>0.5</v>
      </c>
      <c r="J78" s="149">
        <v>-3781.0194605355032</v>
      </c>
      <c r="K78" s="187">
        <v>0</v>
      </c>
      <c r="L78" s="146" t="str">
        <v xml:space="preserve">        n/a</v>
      </c>
      <c r="M78" s="38">
        <v>3039.7368325167949</v>
      </c>
      <c r="N78" s="187">
        <v>1.6592625113375514</v>
      </c>
      <c r="O78" s="141">
        <v>0.21842516776958587</v>
      </c>
    </row>
    <row r="79" spans="7:16" x14ac:dyDescent="0.55000000000000004">
      <c r="G79" s="179"/>
      <c r="H79" s="142"/>
      <c r="I79" s="338">
        <v>0.55000000000000004</v>
      </c>
      <c r="J79" s="150">
        <v>-3781.0194605355032</v>
      </c>
      <c r="K79" s="195">
        <v>0</v>
      </c>
      <c r="L79" s="148" t="str">
        <v xml:space="preserve">        n/a</v>
      </c>
      <c r="M79" s="43">
        <v>3547.434790496874</v>
      </c>
      <c r="N79" s="195">
        <v>1.7693727771995373</v>
      </c>
      <c r="O79" s="120">
        <v>0.232382764625227</v>
      </c>
    </row>
    <row r="80" spans="7:16" x14ac:dyDescent="0.55000000000000004">
      <c r="G80" s="363" t="s">
        <v>107</v>
      </c>
      <c r="H80" s="130"/>
      <c r="I80" s="365" t="s">
        <v>74</v>
      </c>
      <c r="J80" s="370" t="s">
        <v>92</v>
      </c>
      <c r="K80" s="371"/>
      <c r="L80" s="372"/>
      <c r="M80" s="371" t="s">
        <v>93</v>
      </c>
      <c r="N80" s="371"/>
      <c r="O80" s="371"/>
    </row>
    <row r="81" spans="7:18" x14ac:dyDescent="0.55000000000000004">
      <c r="G81" s="364"/>
      <c r="H81" s="130"/>
      <c r="I81" s="366"/>
      <c r="J81" s="160" t="s">
        <v>104</v>
      </c>
      <c r="K81" s="80" t="s">
        <v>105</v>
      </c>
      <c r="L81" s="161" t="s">
        <v>106</v>
      </c>
      <c r="M81" s="80" t="s">
        <v>104</v>
      </c>
      <c r="N81" s="80" t="s">
        <v>105</v>
      </c>
      <c r="O81" s="80" t="s">
        <v>106</v>
      </c>
    </row>
    <row r="82" spans="7:18" x14ac:dyDescent="0.55000000000000004">
      <c r="G82" s="221" t="str">
        <f>G16</f>
        <v>Percent of MSME Households in Total Households</v>
      </c>
      <c r="H82" s="224" t="str">
        <f>H16</f>
        <v>(%)</v>
      </c>
      <c r="I82" s="223">
        <v>7.4999999999999997E-2</v>
      </c>
      <c r="J82" s="151">
        <f>'4a.FAnalysis'!$C$22</f>
        <v>-3781.0194605355032</v>
      </c>
      <c r="K82" s="192">
        <f>'4a.FAnalysis'!$C$23</f>
        <v>0</v>
      </c>
      <c r="L82" s="144" t="str">
        <f>'4a.FAnalysis'!$C$24</f>
        <v xml:space="preserve">        n/a</v>
      </c>
      <c r="M82" s="40">
        <f>'7a.EAnalysis'!$C$30</f>
        <v>2531.2602835951411</v>
      </c>
      <c r="N82" s="192">
        <f>'7a.EAnalysis'!$C$31</f>
        <v>1.5489833835484563</v>
      </c>
      <c r="O82" s="140">
        <f>'7a.EAnalysis'!$C$32</f>
        <v>0.20389887128333317</v>
      </c>
      <c r="P82" s="190" t="s">
        <v>136</v>
      </c>
      <c r="Q82" s="127"/>
      <c r="R82" s="79"/>
    </row>
    <row r="83" spans="7:18" x14ac:dyDescent="0.55000000000000004">
      <c r="I83" s="339">
        <v>5.5E-2</v>
      </c>
      <c r="J83" s="149">
        <f t="dataTable" ref="J83:O87" dt2D="0" dtr="0" r1="I16" ca="1"/>
        <v>-3781.0194605355032</v>
      </c>
      <c r="K83" s="187">
        <v>0</v>
      </c>
      <c r="L83" s="152" t="str">
        <v xml:space="preserve">        n/a</v>
      </c>
      <c r="M83" s="38">
        <v>2002.1657811891757</v>
      </c>
      <c r="N83" s="187">
        <v>1.4342326042508131</v>
      </c>
      <c r="O83" s="141">
        <v>0.1881343909029769</v>
      </c>
    </row>
    <row r="84" spans="7:18" x14ac:dyDescent="0.55000000000000004">
      <c r="I84" s="339">
        <v>6.5000000000000002E-2</v>
      </c>
      <c r="J84" s="149">
        <v>-3781.0194605355032</v>
      </c>
      <c r="K84" s="187">
        <v>0</v>
      </c>
      <c r="L84" s="152" t="str">
        <v xml:space="preserve">        n/a</v>
      </c>
      <c r="M84" s="38">
        <v>2266.7344591114638</v>
      </c>
      <c r="N84" s="187">
        <v>1.4916126409574415</v>
      </c>
      <c r="O84" s="141">
        <v>0.19610832235708742</v>
      </c>
    </row>
    <row r="85" spans="7:18" x14ac:dyDescent="0.55000000000000004">
      <c r="I85" s="339">
        <v>7.4999999999999997E-2</v>
      </c>
      <c r="J85" s="149">
        <v>-3781.0194605355032</v>
      </c>
      <c r="K85" s="187">
        <v>0</v>
      </c>
      <c r="L85" s="152" t="str">
        <v xml:space="preserve">        n/a</v>
      </c>
      <c r="M85" s="38">
        <v>2531.2602835951411</v>
      </c>
      <c r="N85" s="187">
        <v>1.5489833835484563</v>
      </c>
      <c r="O85" s="141">
        <v>0.20389887128333317</v>
      </c>
    </row>
    <row r="86" spans="7:18" x14ac:dyDescent="0.55000000000000004">
      <c r="I86" s="339">
        <v>8.5000000000000006E-2</v>
      </c>
      <c r="J86" s="149">
        <v>-3781.0194605355032</v>
      </c>
      <c r="K86" s="187">
        <v>0</v>
      </c>
      <c r="L86" s="152" t="str">
        <v xml:space="preserve">        n/a</v>
      </c>
      <c r="M86" s="38">
        <v>2796.0389805331984</v>
      </c>
      <c r="N86" s="187">
        <v>1.606408969482334</v>
      </c>
      <c r="O86" s="141">
        <v>0.21153306680373363</v>
      </c>
    </row>
    <row r="87" spans="7:18" x14ac:dyDescent="0.55000000000000004">
      <c r="G87" s="179"/>
      <c r="H87" s="142"/>
      <c r="I87" s="340">
        <v>9.5000000000000001E-2</v>
      </c>
      <c r="J87" s="150">
        <v>-3781.0194605355032</v>
      </c>
      <c r="K87" s="195">
        <v>0</v>
      </c>
      <c r="L87" s="153" t="str">
        <v xml:space="preserve">        n/a</v>
      </c>
      <c r="M87" s="43">
        <v>3060.6831647549766</v>
      </c>
      <c r="N87" s="195">
        <v>1.6638053821041698</v>
      </c>
      <c r="O87" s="120">
        <v>0.21900556916938174</v>
      </c>
    </row>
    <row r="88" spans="7:18" x14ac:dyDescent="0.55000000000000004">
      <c r="G88" s="363" t="s">
        <v>107</v>
      </c>
      <c r="H88" s="130"/>
      <c r="I88" s="365" t="s">
        <v>74</v>
      </c>
      <c r="J88" s="370" t="s">
        <v>92</v>
      </c>
      <c r="K88" s="371"/>
      <c r="L88" s="372"/>
      <c r="M88" s="371" t="s">
        <v>93</v>
      </c>
      <c r="N88" s="371"/>
      <c r="O88" s="371"/>
    </row>
    <row r="89" spans="7:18" x14ac:dyDescent="0.55000000000000004">
      <c r="G89" s="364"/>
      <c r="H89" s="130"/>
      <c r="I89" s="366"/>
      <c r="J89" s="160" t="s">
        <v>104</v>
      </c>
      <c r="K89" s="80" t="s">
        <v>105</v>
      </c>
      <c r="L89" s="161" t="s">
        <v>106</v>
      </c>
      <c r="M89" s="80" t="s">
        <v>104</v>
      </c>
      <c r="N89" s="80" t="s">
        <v>105</v>
      </c>
      <c r="O89" s="80" t="s">
        <v>106</v>
      </c>
    </row>
    <row r="90" spans="7:18" x14ac:dyDescent="0.55000000000000004">
      <c r="G90" s="37" t="str">
        <f>G32</f>
        <v>Avg. Monthly Income for Agricultural Households</v>
      </c>
      <c r="H90" s="224" t="str">
        <f>H32</f>
        <v>(BDT/month)</v>
      </c>
      <c r="I90" s="155">
        <f>I32</f>
        <v>12000</v>
      </c>
      <c r="J90" s="151">
        <f>'4a.FAnalysis'!$C$22</f>
        <v>-3781.0194605355032</v>
      </c>
      <c r="K90" s="192">
        <f>'4a.FAnalysis'!$C$23</f>
        <v>0</v>
      </c>
      <c r="L90" s="144" t="str">
        <f>'4a.FAnalysis'!$C$24</f>
        <v xml:space="preserve">        n/a</v>
      </c>
      <c r="M90" s="40">
        <f>'7a.EAnalysis'!$C$30</f>
        <v>2531.2602835951411</v>
      </c>
      <c r="N90" s="192">
        <f>'7a.EAnalysis'!$C$31</f>
        <v>1.5489833835484563</v>
      </c>
      <c r="O90" s="140">
        <f>'7a.EAnalysis'!$C$32</f>
        <v>0.20389887128333317</v>
      </c>
      <c r="P90" s="190" t="s">
        <v>136</v>
      </c>
    </row>
    <row r="91" spans="7:18" x14ac:dyDescent="0.55000000000000004">
      <c r="I91" s="341">
        <v>8000</v>
      </c>
      <c r="J91" s="149">
        <f t="dataTable" ref="J91:O95" dt2D="0" dtr="0" r1="I32" ca="1"/>
        <v>-3781.0194605355032</v>
      </c>
      <c r="K91" s="187">
        <v>0</v>
      </c>
      <c r="L91" s="146" t="str">
        <v xml:space="preserve">        n/a</v>
      </c>
      <c r="M91" s="38">
        <v>1007.2370377982317</v>
      </c>
      <c r="N91" s="187">
        <v>1.2184510224529084</v>
      </c>
      <c r="O91" s="141">
        <v>0.15627732567511621</v>
      </c>
    </row>
    <row r="92" spans="7:18" x14ac:dyDescent="0.55000000000000004">
      <c r="I92" s="341">
        <v>10000</v>
      </c>
      <c r="J92" s="149">
        <v>-3781.0194605355032</v>
      </c>
      <c r="K92" s="187">
        <v>0</v>
      </c>
      <c r="L92" s="146" t="str">
        <v xml:space="preserve">        n/a</v>
      </c>
      <c r="M92" s="38">
        <v>1769.2486606966863</v>
      </c>
      <c r="N92" s="187">
        <v>1.3837172030006819</v>
      </c>
      <c r="O92" s="141">
        <v>0.18095539867780674</v>
      </c>
    </row>
    <row r="93" spans="7:18" x14ac:dyDescent="0.55000000000000004">
      <c r="I93" s="341">
        <v>12000</v>
      </c>
      <c r="J93" s="149">
        <v>-3781.0194605355032</v>
      </c>
      <c r="K93" s="187">
        <v>0</v>
      </c>
      <c r="L93" s="146" t="str">
        <v xml:space="preserve">        n/a</v>
      </c>
      <c r="M93" s="38">
        <v>2531.2602835951411</v>
      </c>
      <c r="N93" s="187">
        <v>1.5489833835484563</v>
      </c>
      <c r="O93" s="141">
        <v>0.20389887128333317</v>
      </c>
    </row>
    <row r="94" spans="7:18" x14ac:dyDescent="0.55000000000000004">
      <c r="I94" s="341">
        <v>14000</v>
      </c>
      <c r="J94" s="149">
        <v>-3781.0194605355032</v>
      </c>
      <c r="K94" s="187">
        <v>0</v>
      </c>
      <c r="L94" s="146" t="str">
        <v xml:space="preserve">        n/a</v>
      </c>
      <c r="M94" s="38">
        <v>3293.271906493595</v>
      </c>
      <c r="N94" s="187">
        <v>1.7142495640962294</v>
      </c>
      <c r="O94" s="141">
        <v>0.22545392686003507</v>
      </c>
    </row>
    <row r="95" spans="7:18" x14ac:dyDescent="0.55000000000000004">
      <c r="G95" s="179"/>
      <c r="H95" s="142"/>
      <c r="I95" s="342">
        <v>16000</v>
      </c>
      <c r="J95" s="150">
        <v>-3781.0194605355032</v>
      </c>
      <c r="K95" s="195">
        <v>0</v>
      </c>
      <c r="L95" s="148" t="str">
        <v xml:space="preserve">        n/a</v>
      </c>
      <c r="M95" s="43">
        <v>4055.2835293920489</v>
      </c>
      <c r="N95" s="195">
        <v>1.8795157446440025</v>
      </c>
      <c r="O95" s="120">
        <v>0.24585317183417188</v>
      </c>
    </row>
    <row r="96" spans="7:18" x14ac:dyDescent="0.55000000000000004">
      <c r="G96" s="363" t="s">
        <v>107</v>
      </c>
      <c r="H96" s="130"/>
      <c r="I96" s="365" t="s">
        <v>74</v>
      </c>
      <c r="J96" s="370" t="s">
        <v>92</v>
      </c>
      <c r="K96" s="371"/>
      <c r="L96" s="372"/>
      <c r="M96" s="371" t="s">
        <v>93</v>
      </c>
      <c r="N96" s="371"/>
      <c r="O96" s="371"/>
    </row>
    <row r="97" spans="7:16" x14ac:dyDescent="0.55000000000000004">
      <c r="G97" s="364"/>
      <c r="H97" s="130"/>
      <c r="I97" s="366"/>
      <c r="J97" s="160" t="s">
        <v>104</v>
      </c>
      <c r="K97" s="80" t="s">
        <v>105</v>
      </c>
      <c r="L97" s="161" t="s">
        <v>106</v>
      </c>
      <c r="M97" s="80" t="s">
        <v>104</v>
      </c>
      <c r="N97" s="80" t="s">
        <v>105</v>
      </c>
      <c r="O97" s="80" t="s">
        <v>106</v>
      </c>
    </row>
    <row r="98" spans="7:16" x14ac:dyDescent="0.55000000000000004">
      <c r="G98" s="37" t="str">
        <f>G33</f>
        <v>Avg. Monthly Income for MSME Households</v>
      </c>
      <c r="H98" s="224" t="str">
        <f>H33</f>
        <v>(BDT/month)</v>
      </c>
      <c r="I98" s="220">
        <f>I33</f>
        <v>25000</v>
      </c>
      <c r="J98" s="151">
        <f>'4a.FAnalysis'!$C$22</f>
        <v>-3781.0194605355032</v>
      </c>
      <c r="K98" s="192">
        <f>'4a.FAnalysis'!$C$23</f>
        <v>0</v>
      </c>
      <c r="L98" s="144" t="str">
        <f>'4a.FAnalysis'!$C$24</f>
        <v xml:space="preserve">        n/a</v>
      </c>
      <c r="M98" s="40">
        <f>'7a.EAnalysis'!$C$30</f>
        <v>2531.2602835951411</v>
      </c>
      <c r="N98" s="192">
        <f>'7a.EAnalysis'!$C$31</f>
        <v>1.5489833835484563</v>
      </c>
      <c r="O98" s="140">
        <f>'7a.EAnalysis'!$C$32</f>
        <v>0.20389887128333317</v>
      </c>
      <c r="P98" s="190" t="s">
        <v>136</v>
      </c>
    </row>
    <row r="99" spans="7:16" x14ac:dyDescent="0.55000000000000004">
      <c r="I99" s="341">
        <v>15000</v>
      </c>
      <c r="J99" s="149">
        <f t="dataTable" ref="J99:O103" dt2D="0" dtr="0" r1="I33" ca="1"/>
        <v>-3781.0194605355032</v>
      </c>
      <c r="K99" s="187">
        <v>0</v>
      </c>
      <c r="L99" s="146" t="str">
        <v xml:space="preserve">        n/a</v>
      </c>
      <c r="M99" s="38">
        <v>1737.543234988475</v>
      </c>
      <c r="N99" s="187">
        <v>1.3768408845142179</v>
      </c>
      <c r="O99" s="141">
        <v>0.17996646109201553</v>
      </c>
    </row>
    <row r="100" spans="7:16" x14ac:dyDescent="0.55000000000000004">
      <c r="I100" s="341">
        <v>20000</v>
      </c>
      <c r="J100" s="149">
        <v>-3781.0194605355032</v>
      </c>
      <c r="K100" s="187">
        <v>0</v>
      </c>
      <c r="L100" s="146" t="str">
        <v xml:space="preserve">        n/a</v>
      </c>
      <c r="M100" s="38">
        <v>2134.4017592918076</v>
      </c>
      <c r="N100" s="187">
        <v>1.4629121340313371</v>
      </c>
      <c r="O100" s="141">
        <v>0.19214170632729921</v>
      </c>
    </row>
    <row r="101" spans="7:16" x14ac:dyDescent="0.55000000000000004">
      <c r="I101" s="341">
        <v>25000</v>
      </c>
      <c r="J101" s="149">
        <v>-3781.0194605355032</v>
      </c>
      <c r="K101" s="187">
        <v>0</v>
      </c>
      <c r="L101" s="146" t="str">
        <v xml:space="preserve">        n/a</v>
      </c>
      <c r="M101" s="38">
        <v>2531.2602835951411</v>
      </c>
      <c r="N101" s="187">
        <v>1.5489833835484563</v>
      </c>
      <c r="O101" s="141">
        <v>0.20389887128333317</v>
      </c>
    </row>
    <row r="102" spans="7:16" x14ac:dyDescent="0.55000000000000004">
      <c r="I102" s="341">
        <v>30000</v>
      </c>
      <c r="J102" s="149">
        <v>-3781.0194605355032</v>
      </c>
      <c r="K102" s="187">
        <v>0</v>
      </c>
      <c r="L102" s="146" t="str">
        <v xml:space="preserve">        n/a</v>
      </c>
      <c r="M102" s="38">
        <v>2928.1188078984724</v>
      </c>
      <c r="N102" s="187">
        <v>1.6350546330655742</v>
      </c>
      <c r="O102" s="141">
        <v>0.21528120196031364</v>
      </c>
    </row>
    <row r="103" spans="7:16" x14ac:dyDescent="0.55000000000000004">
      <c r="I103" s="341">
        <v>35000</v>
      </c>
      <c r="J103" s="149">
        <v>-3781.0194605355032</v>
      </c>
      <c r="K103" s="187">
        <v>0</v>
      </c>
      <c r="L103" s="146" t="str">
        <v xml:space="preserve">        n/a</v>
      </c>
      <c r="M103" s="38">
        <v>3324.9773322018045</v>
      </c>
      <c r="N103" s="187">
        <v>1.7211258825826936</v>
      </c>
      <c r="O103" s="141">
        <v>0.22632397296358087</v>
      </c>
    </row>
    <row r="104" spans="7:16" x14ac:dyDescent="0.55000000000000004">
      <c r="G104" s="363" t="s">
        <v>107</v>
      </c>
      <c r="H104" s="156"/>
      <c r="I104" s="365" t="s">
        <v>74</v>
      </c>
      <c r="J104" s="367" t="s">
        <v>92</v>
      </c>
      <c r="K104" s="368"/>
      <c r="L104" s="369"/>
      <c r="M104" s="368" t="s">
        <v>93</v>
      </c>
      <c r="N104" s="368"/>
      <c r="O104" s="368"/>
    </row>
    <row r="105" spans="7:16" x14ac:dyDescent="0.55000000000000004">
      <c r="G105" s="364"/>
      <c r="H105" s="157"/>
      <c r="I105" s="366"/>
      <c r="J105" s="158" t="s">
        <v>104</v>
      </c>
      <c r="K105" s="11" t="s">
        <v>105</v>
      </c>
      <c r="L105" s="159" t="s">
        <v>106</v>
      </c>
      <c r="M105" s="11" t="s">
        <v>104</v>
      </c>
      <c r="N105" s="11" t="s">
        <v>105</v>
      </c>
      <c r="O105" s="11" t="s">
        <v>106</v>
      </c>
    </row>
    <row r="106" spans="7:16" x14ac:dyDescent="0.55000000000000004">
      <c r="G106" s="37" t="str">
        <f>G34</f>
        <v>Increase in Agricultural Income</v>
      </c>
      <c r="H106" s="227" t="str">
        <f>H34</f>
        <v>(%)</v>
      </c>
      <c r="I106" s="228">
        <f>I34</f>
        <v>0.2</v>
      </c>
      <c r="J106" s="151">
        <f>'4a.FAnalysis'!$C$22</f>
        <v>-3781.0194605355032</v>
      </c>
      <c r="K106" s="192">
        <f>'4a.FAnalysis'!$C$23</f>
        <v>0</v>
      </c>
      <c r="L106" s="144" t="str">
        <f>'4a.FAnalysis'!$C$24</f>
        <v xml:space="preserve">        n/a</v>
      </c>
      <c r="M106" s="40">
        <f>'7a.EAnalysis'!$C$30</f>
        <v>2531.2602835951411</v>
      </c>
      <c r="N106" s="192">
        <f>'7a.EAnalysis'!$C$31</f>
        <v>1.5489833835484563</v>
      </c>
      <c r="O106" s="140">
        <f>'7a.EAnalysis'!$C$32</f>
        <v>0.20389887128333317</v>
      </c>
      <c r="P106" s="190" t="s">
        <v>136</v>
      </c>
    </row>
    <row r="107" spans="7:16" x14ac:dyDescent="0.55000000000000004">
      <c r="I107" s="343">
        <v>0.05</v>
      </c>
      <c r="J107" s="149">
        <f t="dataTable" ref="J107:O111" dt2D="0" dtr="0" r1="I34" ca="1"/>
        <v>-3781.0194605355032</v>
      </c>
      <c r="K107" s="187">
        <v>0</v>
      </c>
      <c r="L107" s="146" t="str">
        <v xml:space="preserve">        n/a</v>
      </c>
      <c r="M107" s="38">
        <v>-897.79201944790327</v>
      </c>
      <c r="N107" s="187">
        <v>0.80528557108347443</v>
      </c>
      <c r="O107" s="141">
        <v>8.2156963043863218E-2</v>
      </c>
    </row>
    <row r="108" spans="7:16" x14ac:dyDescent="0.55000000000000004">
      <c r="I108" s="343">
        <v>0.1</v>
      </c>
      <c r="J108" s="149">
        <v>-3781.0194605355032</v>
      </c>
      <c r="K108" s="187">
        <v>0</v>
      </c>
      <c r="L108" s="146" t="str">
        <v xml:space="preserve">        n/a</v>
      </c>
      <c r="M108" s="38">
        <v>245.22541489977729</v>
      </c>
      <c r="N108" s="187">
        <v>1.0531848419051353</v>
      </c>
      <c r="O108" s="141">
        <v>0.12930881737149957</v>
      </c>
    </row>
    <row r="109" spans="7:16" x14ac:dyDescent="0.55000000000000004">
      <c r="I109" s="343">
        <v>0.15</v>
      </c>
      <c r="J109" s="149">
        <v>-3781.0194605355032</v>
      </c>
      <c r="K109" s="187">
        <v>0</v>
      </c>
      <c r="L109" s="146" t="str">
        <v xml:space="preserve">        n/a</v>
      </c>
      <c r="M109" s="38">
        <v>1388.2428492474592</v>
      </c>
      <c r="N109" s="187">
        <v>1.3010841127267956</v>
      </c>
      <c r="O109" s="141">
        <v>0.16886133956579785</v>
      </c>
    </row>
    <row r="110" spans="7:16" x14ac:dyDescent="0.55000000000000004">
      <c r="I110" s="343">
        <v>0.2</v>
      </c>
      <c r="J110" s="149">
        <v>-3781.0194605355032</v>
      </c>
      <c r="K110" s="187">
        <v>0</v>
      </c>
      <c r="L110" s="146" t="str">
        <v xml:space="preserve">        n/a</v>
      </c>
      <c r="M110" s="38">
        <v>2531.2602835951411</v>
      </c>
      <c r="N110" s="187">
        <v>1.5489833835484563</v>
      </c>
      <c r="O110" s="141">
        <v>0.20389887128333317</v>
      </c>
    </row>
    <row r="111" spans="7:16" x14ac:dyDescent="0.55000000000000004">
      <c r="I111" s="343">
        <v>0.25</v>
      </c>
      <c r="J111" s="149">
        <v>-3781.0194605355032</v>
      </c>
      <c r="K111" s="187">
        <v>0</v>
      </c>
      <c r="L111" s="146" t="str">
        <v xml:space="preserve">        n/a</v>
      </c>
      <c r="M111" s="38">
        <v>3674.2777179428217</v>
      </c>
      <c r="N111" s="187">
        <v>1.796882654370116</v>
      </c>
      <c r="O111" s="141">
        <v>0.23578645309715207</v>
      </c>
    </row>
    <row r="112" spans="7:16" x14ac:dyDescent="0.55000000000000004">
      <c r="G112" s="363" t="s">
        <v>107</v>
      </c>
      <c r="H112" s="156"/>
      <c r="I112" s="365" t="s">
        <v>74</v>
      </c>
      <c r="J112" s="367" t="s">
        <v>92</v>
      </c>
      <c r="K112" s="368"/>
      <c r="L112" s="369"/>
      <c r="M112" s="368" t="s">
        <v>93</v>
      </c>
      <c r="N112" s="368"/>
      <c r="O112" s="368"/>
    </row>
    <row r="113" spans="7:16" x14ac:dyDescent="0.55000000000000004">
      <c r="G113" s="364"/>
      <c r="H113" s="157"/>
      <c r="I113" s="366"/>
      <c r="J113" s="158" t="s">
        <v>104</v>
      </c>
      <c r="K113" s="11" t="s">
        <v>105</v>
      </c>
      <c r="L113" s="159" t="s">
        <v>106</v>
      </c>
      <c r="M113" s="11" t="s">
        <v>104</v>
      </c>
      <c r="N113" s="11" t="s">
        <v>105</v>
      </c>
      <c r="O113" s="11" t="s">
        <v>106</v>
      </c>
    </row>
    <row r="114" spans="7:16" x14ac:dyDescent="0.55000000000000004">
      <c r="G114" s="229" t="str">
        <f>G35</f>
        <v>Increase in MSME Income</v>
      </c>
      <c r="H114" s="227" t="str">
        <f>H35</f>
        <v>(%)</v>
      </c>
      <c r="I114" s="228">
        <f>I35</f>
        <v>0.25</v>
      </c>
      <c r="J114" s="151">
        <f>'4a.FAnalysis'!$C$22</f>
        <v>-3781.0194605355032</v>
      </c>
      <c r="K114" s="192">
        <f>'4a.FAnalysis'!$C$23</f>
        <v>0</v>
      </c>
      <c r="L114" s="144" t="str">
        <f>'4a.FAnalysis'!$C$24</f>
        <v xml:space="preserve">        n/a</v>
      </c>
      <c r="M114" s="40">
        <f>'7a.EAnalysis'!$C$30</f>
        <v>2531.2602835951411</v>
      </c>
      <c r="N114" s="192">
        <f>'7a.EAnalysis'!$C$31</f>
        <v>1.5489833835484563</v>
      </c>
      <c r="O114" s="140">
        <f>'7a.EAnalysis'!$C$32</f>
        <v>0.20389887128333317</v>
      </c>
      <c r="P114" s="190" t="s">
        <v>136</v>
      </c>
    </row>
    <row r="115" spans="7:16" x14ac:dyDescent="0.55000000000000004">
      <c r="I115" s="344">
        <v>0.1</v>
      </c>
      <c r="J115" s="149">
        <f t="dataTable" ref="J115:O119" dt2D="0" dtr="0" r1="I35" ca="1"/>
        <v>-3781.0194605355032</v>
      </c>
      <c r="K115" s="187">
        <v>0</v>
      </c>
      <c r="L115" s="146" t="str">
        <v xml:space="preserve">        n/a</v>
      </c>
      <c r="M115" s="38">
        <v>1340.6847106851424</v>
      </c>
      <c r="N115" s="187">
        <v>1.2907696349970987</v>
      </c>
      <c r="O115" s="141">
        <v>0.16731912024168816</v>
      </c>
    </row>
    <row r="116" spans="7:16" x14ac:dyDescent="0.55000000000000004">
      <c r="I116" s="344">
        <v>0.15</v>
      </c>
      <c r="J116" s="149">
        <v>-3781.0194605355032</v>
      </c>
      <c r="K116" s="187">
        <v>0</v>
      </c>
      <c r="L116" s="146" t="str">
        <v xml:space="preserve">        n/a</v>
      </c>
      <c r="M116" s="38">
        <v>1737.543234988475</v>
      </c>
      <c r="N116" s="187">
        <v>1.3768408845142179</v>
      </c>
      <c r="O116" s="141">
        <v>0.17996646109201553</v>
      </c>
    </row>
    <row r="117" spans="7:16" x14ac:dyDescent="0.55000000000000004">
      <c r="I117" s="344">
        <v>0.2</v>
      </c>
      <c r="J117" s="149">
        <v>-3781.0194605355032</v>
      </c>
      <c r="K117" s="187">
        <v>0</v>
      </c>
      <c r="L117" s="146" t="str">
        <v xml:space="preserve">        n/a</v>
      </c>
      <c r="M117" s="38">
        <v>2134.4017592918076</v>
      </c>
      <c r="N117" s="187">
        <v>1.4629121340313371</v>
      </c>
      <c r="O117" s="141">
        <v>0.19214170632729921</v>
      </c>
    </row>
    <row r="118" spans="7:16" x14ac:dyDescent="0.55000000000000004">
      <c r="I118" s="344">
        <v>0.25</v>
      </c>
      <c r="J118" s="149">
        <v>-3781.0194605355032</v>
      </c>
      <c r="K118" s="187">
        <v>0</v>
      </c>
      <c r="L118" s="146" t="str">
        <v xml:space="preserve">        n/a</v>
      </c>
      <c r="M118" s="38">
        <v>2531.2602835951411</v>
      </c>
      <c r="N118" s="187">
        <v>1.5489833835484563</v>
      </c>
      <c r="O118" s="141">
        <v>0.20389887128333317</v>
      </c>
    </row>
    <row r="119" spans="7:16" x14ac:dyDescent="0.55000000000000004">
      <c r="I119" s="344">
        <v>0.3</v>
      </c>
      <c r="J119" s="149">
        <v>-3781.0194605355032</v>
      </c>
      <c r="K119" s="187">
        <v>0</v>
      </c>
      <c r="L119" s="146" t="str">
        <v xml:space="preserve">        n/a</v>
      </c>
      <c r="M119" s="38">
        <v>2928.1188078984724</v>
      </c>
      <c r="N119" s="187">
        <v>1.6350546330655742</v>
      </c>
      <c r="O119" s="141">
        <v>0.21528120196031364</v>
      </c>
    </row>
    <row r="120" spans="7:16" x14ac:dyDescent="0.55000000000000004">
      <c r="G120" s="363" t="s">
        <v>107</v>
      </c>
      <c r="H120" s="156"/>
      <c r="I120" s="365" t="s">
        <v>74</v>
      </c>
      <c r="J120" s="367" t="s">
        <v>92</v>
      </c>
      <c r="K120" s="368"/>
      <c r="L120" s="369"/>
      <c r="M120" s="368" t="s">
        <v>93</v>
      </c>
      <c r="N120" s="368"/>
      <c r="O120" s="368"/>
    </row>
    <row r="121" spans="7:16" x14ac:dyDescent="0.55000000000000004">
      <c r="G121" s="364"/>
      <c r="H121" s="157"/>
      <c r="I121" s="366"/>
      <c r="J121" s="158" t="s">
        <v>104</v>
      </c>
      <c r="K121" s="11" t="s">
        <v>105</v>
      </c>
      <c r="L121" s="159" t="s">
        <v>106</v>
      </c>
      <c r="M121" s="11" t="s">
        <v>104</v>
      </c>
      <c r="N121" s="11" t="s">
        <v>105</v>
      </c>
      <c r="O121" s="11" t="s">
        <v>106</v>
      </c>
    </row>
    <row r="122" spans="7:16" x14ac:dyDescent="0.55000000000000004">
      <c r="G122" s="37" t="str">
        <f>G36</f>
        <v>Increase in Personal Income due to Avoidance of Dropout</v>
      </c>
      <c r="H122" s="224" t="str">
        <f>H36</f>
        <v>(USD/life)</v>
      </c>
      <c r="I122" s="220">
        <f>I36</f>
        <v>209000</v>
      </c>
      <c r="J122" s="151">
        <f>'4a.FAnalysis'!$C$22</f>
        <v>-3781.0194605355032</v>
      </c>
      <c r="K122" s="192">
        <f>'4a.FAnalysis'!$C$23</f>
        <v>0</v>
      </c>
      <c r="L122" s="144" t="str">
        <f>'4a.FAnalysis'!$C$24</f>
        <v xml:space="preserve">        n/a</v>
      </c>
      <c r="M122" s="40">
        <f>'7a.EAnalysis'!$C$30</f>
        <v>2531.2602835951411</v>
      </c>
      <c r="N122" s="192">
        <f>'7a.EAnalysis'!$C$31</f>
        <v>1.5489833835484563</v>
      </c>
      <c r="O122" s="140">
        <f>'7a.EAnalysis'!$C$32</f>
        <v>0.20389887128333317</v>
      </c>
      <c r="P122" s="190" t="s">
        <v>136</v>
      </c>
    </row>
    <row r="123" spans="7:16" x14ac:dyDescent="0.55000000000000004">
      <c r="I123" s="335">
        <v>109000</v>
      </c>
      <c r="J123" s="149">
        <f t="dataTable" ref="J123:O127" dt2D="0" dtr="0" r1="I36" ca="1"/>
        <v>-3781.0194605355032</v>
      </c>
      <c r="K123" s="187">
        <v>0</v>
      </c>
      <c r="L123" s="146" t="str">
        <v xml:space="preserve">        n/a</v>
      </c>
      <c r="M123" s="38">
        <v>2252.1769738576004</v>
      </c>
      <c r="N123" s="187">
        <v>1.4884553925454882</v>
      </c>
      <c r="O123" s="141">
        <v>0.19647525232762986</v>
      </c>
    </row>
    <row r="124" spans="7:16" x14ac:dyDescent="0.55000000000000004">
      <c r="I124" s="335">
        <v>159000</v>
      </c>
      <c r="J124" s="149">
        <v>-3781.0194605355032</v>
      </c>
      <c r="K124" s="187">
        <v>0</v>
      </c>
      <c r="L124" s="146" t="str">
        <v xml:space="preserve">        n/a</v>
      </c>
      <c r="M124" s="38">
        <v>2391.7186287263694</v>
      </c>
      <c r="N124" s="187">
        <v>1.5187193880469718</v>
      </c>
      <c r="O124" s="141">
        <v>0.20022469584598346</v>
      </c>
    </row>
    <row r="125" spans="7:16" x14ac:dyDescent="0.55000000000000004">
      <c r="I125" s="335">
        <v>209000</v>
      </c>
      <c r="J125" s="149">
        <v>-3781.0194605355032</v>
      </c>
      <c r="K125" s="187">
        <v>0</v>
      </c>
      <c r="L125" s="146" t="str">
        <v xml:space="preserve">        n/a</v>
      </c>
      <c r="M125" s="38">
        <v>2531.2602835951411</v>
      </c>
      <c r="N125" s="187">
        <v>1.5489833835484563</v>
      </c>
      <c r="O125" s="141">
        <v>0.20389887128333317</v>
      </c>
    </row>
    <row r="126" spans="7:16" x14ac:dyDescent="0.55000000000000004">
      <c r="I126" s="335">
        <v>259000</v>
      </c>
      <c r="J126" s="149">
        <v>-3781.0194605355032</v>
      </c>
      <c r="K126" s="187">
        <v>0</v>
      </c>
      <c r="L126" s="146" t="str">
        <v xml:space="preserve">        n/a</v>
      </c>
      <c r="M126" s="38">
        <v>2670.8019384639097</v>
      </c>
      <c r="N126" s="187">
        <v>1.5792473790499397</v>
      </c>
      <c r="O126" s="141">
        <v>0.20750162620551227</v>
      </c>
    </row>
    <row r="127" spans="7:16" x14ac:dyDescent="0.55000000000000004">
      <c r="G127" s="179"/>
      <c r="H127" s="142"/>
      <c r="I127" s="336">
        <v>309000</v>
      </c>
      <c r="J127" s="150">
        <v>-3781.0194605355032</v>
      </c>
      <c r="K127" s="195">
        <v>0</v>
      </c>
      <c r="L127" s="148" t="str">
        <v xml:space="preserve">        n/a</v>
      </c>
      <c r="M127" s="43">
        <v>2810.3435933326805</v>
      </c>
      <c r="N127" s="195">
        <v>1.6095113745514231</v>
      </c>
      <c r="O127" s="120">
        <v>0.21103649651303535</v>
      </c>
    </row>
    <row r="128" spans="7:16" x14ac:dyDescent="0.55000000000000004">
      <c r="G128" s="363" t="s">
        <v>107</v>
      </c>
      <c r="H128" s="156"/>
      <c r="I128" s="365" t="s">
        <v>74</v>
      </c>
      <c r="J128" s="367" t="s">
        <v>92</v>
      </c>
      <c r="K128" s="368"/>
      <c r="L128" s="369"/>
      <c r="M128" s="368" t="s">
        <v>93</v>
      </c>
      <c r="N128" s="368"/>
      <c r="O128" s="368"/>
    </row>
    <row r="129" spans="7:16" x14ac:dyDescent="0.55000000000000004">
      <c r="G129" s="364"/>
      <c r="H129" s="157"/>
      <c r="I129" s="366"/>
      <c r="J129" s="158" t="s">
        <v>104</v>
      </c>
      <c r="K129" s="11" t="s">
        <v>105</v>
      </c>
      <c r="L129" s="159" t="s">
        <v>106</v>
      </c>
      <c r="M129" s="11" t="s">
        <v>104</v>
      </c>
      <c r="N129" s="11" t="s">
        <v>105</v>
      </c>
      <c r="O129" s="11" t="s">
        <v>106</v>
      </c>
    </row>
    <row r="130" spans="7:16" x14ac:dyDescent="0.55000000000000004">
      <c r="G130" s="37" t="str">
        <f>G27</f>
        <v>Population in Negativey Affected Areas</v>
      </c>
      <c r="H130" s="227" t="str">
        <f>H27</f>
        <v>(#)</v>
      </c>
      <c r="I130" s="220">
        <f>I27</f>
        <v>13000</v>
      </c>
      <c r="J130" s="151">
        <f>'4a.FAnalysis'!$C$22</f>
        <v>-3781.0194605355032</v>
      </c>
      <c r="K130" s="192">
        <f>'4a.FAnalysis'!$C$23</f>
        <v>0</v>
      </c>
      <c r="L130" s="144" t="str">
        <f>'4a.FAnalysis'!$C$24</f>
        <v xml:space="preserve">        n/a</v>
      </c>
      <c r="M130" s="40">
        <f>'7a.EAnalysis'!$C$30</f>
        <v>2531.2602835951411</v>
      </c>
      <c r="N130" s="192">
        <f>'7a.EAnalysis'!$C$31</f>
        <v>1.5489833835484563</v>
      </c>
      <c r="O130" s="140">
        <f>'7a.EAnalysis'!$C$32</f>
        <v>0.20389887128333317</v>
      </c>
      <c r="P130" s="190" t="s">
        <v>136</v>
      </c>
    </row>
    <row r="131" spans="7:16" x14ac:dyDescent="0.55000000000000004">
      <c r="I131" s="335">
        <v>7000</v>
      </c>
      <c r="J131" s="149">
        <f t="dataTable" ref="J131:O135" dt2D="0" dtr="0" r1="I27" ca="1"/>
        <v>-3781.0194605355032</v>
      </c>
      <c r="K131" s="187">
        <v>0</v>
      </c>
      <c r="L131" s="146" t="str">
        <v xml:space="preserve">        n/a</v>
      </c>
      <c r="M131" s="38">
        <v>3199.0879703391893</v>
      </c>
      <c r="N131" s="187">
        <v>1.8113363062983374</v>
      </c>
      <c r="O131" s="141">
        <v>0.22285584924825708</v>
      </c>
    </row>
    <row r="132" spans="7:16" x14ac:dyDescent="0.55000000000000004">
      <c r="I132" s="335">
        <v>10000</v>
      </c>
      <c r="J132" s="149">
        <v>-3781.0194605355032</v>
      </c>
      <c r="K132" s="187">
        <v>0</v>
      </c>
      <c r="L132" s="146" t="str">
        <v xml:space="preserve">        n/a</v>
      </c>
      <c r="M132" s="38">
        <v>2865.0407291234374</v>
      </c>
      <c r="N132" s="187">
        <v>1.6698663166463039</v>
      </c>
      <c r="O132" s="141">
        <v>0.2134958368322033</v>
      </c>
    </row>
    <row r="133" spans="7:16" x14ac:dyDescent="0.55000000000000004">
      <c r="I133" s="335">
        <v>13000</v>
      </c>
      <c r="J133" s="149">
        <v>-3781.0194605355032</v>
      </c>
      <c r="K133" s="187">
        <v>0</v>
      </c>
      <c r="L133" s="146" t="str">
        <v xml:space="preserve">        n/a</v>
      </c>
      <c r="M133" s="38">
        <v>2531.2602835951411</v>
      </c>
      <c r="N133" s="187">
        <v>1.5489833835484563</v>
      </c>
      <c r="O133" s="141">
        <v>0.20389887128333317</v>
      </c>
    </row>
    <row r="134" spans="7:16" x14ac:dyDescent="0.55000000000000004">
      <c r="I134" s="335">
        <v>16000</v>
      </c>
      <c r="J134" s="149">
        <v>-3781.0194605355032</v>
      </c>
      <c r="K134" s="187">
        <v>0</v>
      </c>
      <c r="L134" s="146" t="str">
        <v xml:space="preserve">        n/a</v>
      </c>
      <c r="M134" s="38">
        <v>2197.6258348857828</v>
      </c>
      <c r="N134" s="187">
        <v>1.444463289927675</v>
      </c>
      <c r="O134" s="141">
        <v>0.19404148239690922</v>
      </c>
    </row>
    <row r="135" spans="7:16" x14ac:dyDescent="0.55000000000000004">
      <c r="G135" s="179"/>
      <c r="H135" s="142"/>
      <c r="I135" s="336">
        <v>19000</v>
      </c>
      <c r="J135" s="150">
        <v>-3781.0194605355032</v>
      </c>
      <c r="K135" s="195">
        <v>0</v>
      </c>
      <c r="L135" s="148" t="str">
        <v xml:space="preserve">        n/a</v>
      </c>
      <c r="M135" s="43">
        <v>1863.8314650794455</v>
      </c>
      <c r="N135" s="195">
        <v>1.3531158987615188</v>
      </c>
      <c r="O135" s="120">
        <v>0.1838881657915612</v>
      </c>
    </row>
    <row r="136" spans="7:16" x14ac:dyDescent="0.55000000000000004">
      <c r="G136" s="363" t="s">
        <v>107</v>
      </c>
      <c r="H136" s="156"/>
      <c r="I136" s="365" t="s">
        <v>74</v>
      </c>
      <c r="J136" s="367" t="s">
        <v>92</v>
      </c>
      <c r="K136" s="368"/>
      <c r="L136" s="369"/>
      <c r="M136" s="368" t="s">
        <v>93</v>
      </c>
      <c r="N136" s="368"/>
      <c r="O136" s="368"/>
    </row>
    <row r="137" spans="7:16" x14ac:dyDescent="0.55000000000000004">
      <c r="G137" s="364"/>
      <c r="H137" s="157"/>
      <c r="I137" s="366"/>
      <c r="J137" s="158" t="s">
        <v>104</v>
      </c>
      <c r="K137" s="11" t="s">
        <v>105</v>
      </c>
      <c r="L137" s="159" t="s">
        <v>106</v>
      </c>
      <c r="M137" s="11" t="s">
        <v>104</v>
      </c>
      <c r="N137" s="11" t="s">
        <v>105</v>
      </c>
      <c r="O137" s="11" t="s">
        <v>106</v>
      </c>
    </row>
    <row r="138" spans="7:16" x14ac:dyDescent="0.55000000000000004">
      <c r="G138" s="37" t="str">
        <f>G42</f>
        <v>Avg. Monthly Income for Households in Negatively Affected Areas</v>
      </c>
      <c r="H138" s="224" t="str">
        <f>H42</f>
        <v>(BDT/month)</v>
      </c>
      <c r="I138" s="220">
        <f>I42</f>
        <v>23000</v>
      </c>
      <c r="J138" s="151">
        <f>'4a.FAnalysis'!$C$22</f>
        <v>-3781.0194605355032</v>
      </c>
      <c r="K138" s="192">
        <f>'4a.FAnalysis'!$C$23</f>
        <v>0</v>
      </c>
      <c r="L138" s="144" t="str">
        <f>'4a.FAnalysis'!$C$24</f>
        <v xml:space="preserve">        n/a</v>
      </c>
      <c r="M138" s="40">
        <f>'7a.EAnalysis'!$C$30</f>
        <v>2531.2602835951411</v>
      </c>
      <c r="N138" s="192">
        <f>'7a.EAnalysis'!$C$31</f>
        <v>1.5489833835484563</v>
      </c>
      <c r="O138" s="140">
        <f>'7a.EAnalysis'!$C$32</f>
        <v>0.20389887128333317</v>
      </c>
      <c r="P138" s="190" t="s">
        <v>136</v>
      </c>
    </row>
    <row r="139" spans="7:16" x14ac:dyDescent="0.55000000000000004">
      <c r="I139" s="335">
        <v>17000</v>
      </c>
      <c r="J139" s="149">
        <f t="dataTable" ref="J139:O143" dt2D="0" dtr="0" r1="I42" ca="1"/>
        <v>-3781.0194605355032</v>
      </c>
      <c r="K139" s="187">
        <v>0</v>
      </c>
      <c r="L139" s="146" t="str">
        <v xml:space="preserve">        n/a</v>
      </c>
      <c r="M139" s="38">
        <v>2908.6814146151301</v>
      </c>
      <c r="N139" s="187">
        <v>1.6870804313261525</v>
      </c>
      <c r="O139" s="141">
        <v>0.2147321388327752</v>
      </c>
    </row>
    <row r="140" spans="7:16" x14ac:dyDescent="0.55000000000000004">
      <c r="I140" s="335">
        <v>20000</v>
      </c>
      <c r="J140" s="149">
        <v>-3781.0194605355032</v>
      </c>
      <c r="K140" s="187">
        <v>0</v>
      </c>
      <c r="L140" s="146" t="str">
        <v xml:space="preserve">        n/a</v>
      </c>
      <c r="M140" s="38">
        <v>2719.970849105136</v>
      </c>
      <c r="N140" s="187">
        <v>1.6150853038324466</v>
      </c>
      <c r="O140" s="141">
        <v>0.20935583477417907</v>
      </c>
    </row>
    <row r="141" spans="7:16" x14ac:dyDescent="0.55000000000000004">
      <c r="I141" s="335">
        <v>23000</v>
      </c>
      <c r="J141" s="149">
        <v>-3781.0194605355032</v>
      </c>
      <c r="K141" s="187">
        <v>0</v>
      </c>
      <c r="L141" s="146" t="str">
        <v xml:space="preserve">        n/a</v>
      </c>
      <c r="M141" s="38">
        <v>2531.2602835951411</v>
      </c>
      <c r="N141" s="187">
        <v>1.5489833835484563</v>
      </c>
      <c r="O141" s="141">
        <v>0.20389887128333317</v>
      </c>
    </row>
    <row r="142" spans="7:16" x14ac:dyDescent="0.55000000000000004">
      <c r="I142" s="335">
        <v>26000</v>
      </c>
      <c r="J142" s="149">
        <v>-3781.0194605355032</v>
      </c>
      <c r="K142" s="187">
        <v>0</v>
      </c>
      <c r="L142" s="146" t="str">
        <v xml:space="preserve">        n/a</v>
      </c>
      <c r="M142" s="38">
        <v>2342.5497180851453</v>
      </c>
      <c r="N142" s="187">
        <v>1.48807953258423</v>
      </c>
      <c r="O142" s="141">
        <v>0.19835727714576512</v>
      </c>
    </row>
    <row r="143" spans="7:16" x14ac:dyDescent="0.55000000000000004">
      <c r="G143" s="179"/>
      <c r="H143" s="142"/>
      <c r="I143" s="336">
        <v>29000</v>
      </c>
      <c r="J143" s="150">
        <v>-3781.0194605355032</v>
      </c>
      <c r="K143" s="195">
        <v>0</v>
      </c>
      <c r="L143" s="148" t="str">
        <v xml:space="preserve">        n/a</v>
      </c>
      <c r="M143" s="43">
        <v>2153.8391525751495</v>
      </c>
      <c r="N143" s="195">
        <v>1.4317838044533979</v>
      </c>
      <c r="O143" s="120">
        <v>0.19272667915953101</v>
      </c>
    </row>
    <row r="144" spans="7:16" x14ac:dyDescent="0.55000000000000004">
      <c r="G144" s="363" t="s">
        <v>107</v>
      </c>
      <c r="H144" s="156"/>
      <c r="I144" s="365" t="s">
        <v>74</v>
      </c>
      <c r="J144" s="367" t="s">
        <v>92</v>
      </c>
      <c r="K144" s="368"/>
      <c r="L144" s="369"/>
      <c r="M144" s="368" t="s">
        <v>93</v>
      </c>
      <c r="N144" s="368"/>
      <c r="O144" s="368"/>
    </row>
    <row r="145" spans="7:16" x14ac:dyDescent="0.55000000000000004">
      <c r="G145" s="364"/>
      <c r="H145" s="157"/>
      <c r="I145" s="366"/>
      <c r="J145" s="158" t="s">
        <v>104</v>
      </c>
      <c r="K145" s="11" t="s">
        <v>105</v>
      </c>
      <c r="L145" s="159" t="s">
        <v>106</v>
      </c>
      <c r="M145" s="11" t="s">
        <v>104</v>
      </c>
      <c r="N145" s="11" t="s">
        <v>105</v>
      </c>
      <c r="O145" s="11" t="s">
        <v>106</v>
      </c>
    </row>
    <row r="146" spans="7:16" x14ac:dyDescent="0.55000000000000004">
      <c r="G146" s="37" t="str">
        <f>G43</f>
        <v>Loss of Income in Negatively Affected Areas</v>
      </c>
      <c r="H146" s="227" t="str">
        <f>H43</f>
        <v>(%)</v>
      </c>
      <c r="I146" s="226">
        <f>I43</f>
        <v>0.04</v>
      </c>
      <c r="J146" s="151">
        <f>'4a.FAnalysis'!$C$22</f>
        <v>-3781.0194605355032</v>
      </c>
      <c r="K146" s="192">
        <f>'4a.FAnalysis'!$C$23</f>
        <v>0</v>
      </c>
      <c r="L146" s="144" t="str">
        <f>'4a.FAnalysis'!$C$24</f>
        <v xml:space="preserve">        n/a</v>
      </c>
      <c r="M146" s="40">
        <f>'7a.EAnalysis'!$C$30</f>
        <v>2531.2602835951411</v>
      </c>
      <c r="N146" s="192">
        <f>'7a.EAnalysis'!$C$31</f>
        <v>1.5489833835484563</v>
      </c>
      <c r="O146" s="140">
        <f>'7a.EAnalysis'!$C$32</f>
        <v>0.20389887128333317</v>
      </c>
      <c r="P146" s="190" t="s">
        <v>136</v>
      </c>
    </row>
    <row r="147" spans="7:16" x14ac:dyDescent="0.55000000000000004">
      <c r="I147" s="344">
        <v>0.02</v>
      </c>
      <c r="J147" s="149">
        <f t="dataTable" ref="J147:O151" dt2D="0" dtr="0" r1="I43" ca="1"/>
        <v>-3781.0194605355032</v>
      </c>
      <c r="K147" s="187">
        <v>0</v>
      </c>
      <c r="L147" s="146" t="str">
        <v xml:space="preserve">        n/a</v>
      </c>
      <c r="M147" s="38">
        <v>3254.6507847167891</v>
      </c>
      <c r="N147" s="187">
        <v>1.8372256755373728</v>
      </c>
      <c r="O147" s="141">
        <v>0.22439100556853497</v>
      </c>
    </row>
    <row r="148" spans="7:16" x14ac:dyDescent="0.55000000000000004">
      <c r="I148" s="344">
        <v>0.04</v>
      </c>
      <c r="J148" s="149">
        <v>-3781.0194605355032</v>
      </c>
      <c r="K148" s="187">
        <v>0</v>
      </c>
      <c r="L148" s="146" t="str">
        <v xml:space="preserve">        n/a</v>
      </c>
      <c r="M148" s="38">
        <v>2531.2602835951411</v>
      </c>
      <c r="N148" s="187">
        <v>1.5489833835484563</v>
      </c>
      <c r="O148" s="141">
        <v>0.20389887128333317</v>
      </c>
    </row>
    <row r="149" spans="7:16" x14ac:dyDescent="0.55000000000000004">
      <c r="I149" s="344">
        <v>0.06</v>
      </c>
      <c r="J149" s="149">
        <v>-3781.0194605355032</v>
      </c>
      <c r="K149" s="187">
        <v>0</v>
      </c>
      <c r="L149" s="146" t="str">
        <v xml:space="preserve">        n/a</v>
      </c>
      <c r="M149" s="38">
        <v>1807.8697824734918</v>
      </c>
      <c r="N149" s="187">
        <v>1.3389202221419867</v>
      </c>
      <c r="O149" s="141">
        <v>0.18215633916357987</v>
      </c>
    </row>
    <row r="150" spans="7:16" x14ac:dyDescent="0.55000000000000004">
      <c r="I150" s="344">
        <v>0.08</v>
      </c>
      <c r="J150" s="149">
        <v>-3781.0194605355032</v>
      </c>
      <c r="K150" s="187">
        <v>0</v>
      </c>
      <c r="L150" s="146" t="str">
        <v xml:space="preserve">        n/a</v>
      </c>
      <c r="M150" s="38">
        <v>1084.4792813518425</v>
      </c>
      <c r="N150" s="187">
        <v>1.1790280262584467</v>
      </c>
      <c r="O150" s="141">
        <v>0.15887140396532762</v>
      </c>
    </row>
    <row r="151" spans="7:16" x14ac:dyDescent="0.55000000000000004">
      <c r="G151" s="179"/>
      <c r="H151" s="142"/>
      <c r="I151" s="345">
        <v>0.1</v>
      </c>
      <c r="J151" s="150">
        <v>-3781.0194605355032</v>
      </c>
      <c r="K151" s="195">
        <v>0</v>
      </c>
      <c r="L151" s="148" t="str">
        <v xml:space="preserve">        n/a</v>
      </c>
      <c r="M151" s="43">
        <v>361.08878023019292</v>
      </c>
      <c r="N151" s="195">
        <v>1.0532501918480244</v>
      </c>
      <c r="O151" s="120">
        <v>0.13358878369757288</v>
      </c>
    </row>
    <row r="152" spans="7:16" x14ac:dyDescent="0.55000000000000004">
      <c r="G152" s="363" t="s">
        <v>107</v>
      </c>
      <c r="H152" s="156"/>
      <c r="I152" s="365" t="s">
        <v>74</v>
      </c>
      <c r="J152" s="367" t="s">
        <v>92</v>
      </c>
      <c r="K152" s="368"/>
      <c r="L152" s="369"/>
      <c r="M152" s="368" t="s">
        <v>93</v>
      </c>
      <c r="N152" s="368"/>
      <c r="O152" s="368"/>
    </row>
    <row r="153" spans="7:16" x14ac:dyDescent="0.55000000000000004">
      <c r="G153" s="364"/>
      <c r="H153" s="157"/>
      <c r="I153" s="366"/>
      <c r="J153" s="158" t="s">
        <v>104</v>
      </c>
      <c r="K153" s="11" t="s">
        <v>105</v>
      </c>
      <c r="L153" s="159" t="s">
        <v>106</v>
      </c>
      <c r="M153" s="11" t="s">
        <v>104</v>
      </c>
      <c r="N153" s="11" t="s">
        <v>105</v>
      </c>
      <c r="O153" s="11" t="s">
        <v>106</v>
      </c>
    </row>
    <row r="154" spans="7:16" x14ac:dyDescent="0.55000000000000004">
      <c r="G154" s="24" t="str">
        <f>TRIM(B12)</f>
        <v>Financial Discount Rate</v>
      </c>
      <c r="H154" s="139" t="str">
        <f>C12</f>
        <v>(%)</v>
      </c>
      <c r="I154" s="191">
        <f>D12</f>
        <v>0.12</v>
      </c>
      <c r="J154" s="193">
        <f>'4a.FAnalysis'!$C$22</f>
        <v>-3781.0194605355032</v>
      </c>
      <c r="K154" s="192">
        <f>'4a.FAnalysis'!$C$23</f>
        <v>0</v>
      </c>
      <c r="L154" s="144" t="str">
        <f>'4a.FAnalysis'!$C$24</f>
        <v xml:space="preserve">        n/a</v>
      </c>
      <c r="M154" s="40">
        <f>'7a.EAnalysis'!$C$30</f>
        <v>2531.2602835951411</v>
      </c>
      <c r="N154" s="192">
        <f>'7a.EAnalysis'!$C$31</f>
        <v>1.5489833835484563</v>
      </c>
      <c r="O154" s="140">
        <f>'7a.EAnalysis'!$C$32</f>
        <v>0.20389887128333317</v>
      </c>
      <c r="P154" s="190" t="s">
        <v>136</v>
      </c>
    </row>
    <row r="155" spans="7:16" x14ac:dyDescent="0.55000000000000004">
      <c r="I155" s="346">
        <v>0.08</v>
      </c>
      <c r="J155" s="194">
        <f t="dataTable" ref="J155:O159" dt2D="0" dtr="0" r1="D12" ca="1"/>
        <v>-4481.8218942702078</v>
      </c>
      <c r="K155" s="187">
        <v>0</v>
      </c>
      <c r="L155" s="152" t="str">
        <v xml:space="preserve">        n/a</v>
      </c>
      <c r="M155" s="38">
        <v>2531.2602835951411</v>
      </c>
      <c r="N155" s="187">
        <v>1.5489833835484563</v>
      </c>
      <c r="O155" s="199">
        <v>0.20389887128333317</v>
      </c>
    </row>
    <row r="156" spans="7:16" x14ac:dyDescent="0.55000000000000004">
      <c r="I156" s="346">
        <v>0.1</v>
      </c>
      <c r="J156" s="194">
        <v>-4102.6824413050781</v>
      </c>
      <c r="K156" s="187">
        <v>0</v>
      </c>
      <c r="L156" s="152" t="str">
        <v xml:space="preserve">        n/a</v>
      </c>
      <c r="M156" s="38">
        <v>2531.2602835951411</v>
      </c>
      <c r="N156" s="187">
        <v>1.5489833835484563</v>
      </c>
      <c r="O156" s="199">
        <v>0.20389887128333317</v>
      </c>
    </row>
    <row r="157" spans="7:16" x14ac:dyDescent="0.55000000000000004">
      <c r="I157" s="346">
        <v>0.12</v>
      </c>
      <c r="J157" s="194">
        <v>-3781.0194605355032</v>
      </c>
      <c r="K157" s="187">
        <v>0</v>
      </c>
      <c r="L157" s="152" t="str">
        <v xml:space="preserve">        n/a</v>
      </c>
      <c r="M157" s="38">
        <v>2531.2602835951411</v>
      </c>
      <c r="N157" s="187">
        <v>1.5489833835484563</v>
      </c>
      <c r="O157" s="199">
        <v>0.20389887128333317</v>
      </c>
    </row>
    <row r="158" spans="7:16" x14ac:dyDescent="0.55000000000000004">
      <c r="I158" s="346">
        <v>0.14000000000000001</v>
      </c>
      <c r="J158" s="194">
        <v>-3503.5317783641922</v>
      </c>
      <c r="K158" s="187">
        <v>0</v>
      </c>
      <c r="L158" s="152" t="str">
        <v xml:space="preserve">        n/a</v>
      </c>
      <c r="M158" s="38">
        <v>2531.2602835951411</v>
      </c>
      <c r="N158" s="187">
        <v>1.5489833835484563</v>
      </c>
      <c r="O158" s="199">
        <v>0.20389887128333317</v>
      </c>
    </row>
    <row r="159" spans="7:16" x14ac:dyDescent="0.55000000000000004">
      <c r="I159" s="346">
        <v>0.16</v>
      </c>
      <c r="J159" s="194">
        <v>-3260.8367845743655</v>
      </c>
      <c r="K159" s="187">
        <v>0</v>
      </c>
      <c r="L159" s="152" t="str">
        <v xml:space="preserve">        n/a</v>
      </c>
      <c r="M159" s="38">
        <v>2531.2602835951411</v>
      </c>
      <c r="N159" s="187">
        <v>1.5489833835484563</v>
      </c>
      <c r="O159" s="199">
        <v>0.20389887128333317</v>
      </c>
    </row>
    <row r="160" spans="7:16" x14ac:dyDescent="0.55000000000000004">
      <c r="G160" s="363" t="s">
        <v>107</v>
      </c>
      <c r="H160" s="156"/>
      <c r="I160" s="365" t="s">
        <v>74</v>
      </c>
      <c r="J160" s="367" t="s">
        <v>92</v>
      </c>
      <c r="K160" s="368"/>
      <c r="L160" s="369"/>
      <c r="M160" s="368" t="s">
        <v>93</v>
      </c>
      <c r="N160" s="368"/>
      <c r="O160" s="368"/>
    </row>
    <row r="161" spans="7:16" x14ac:dyDescent="0.55000000000000004">
      <c r="G161" s="364"/>
      <c r="H161" s="157"/>
      <c r="I161" s="366"/>
      <c r="J161" s="158" t="s">
        <v>104</v>
      </c>
      <c r="K161" s="11" t="s">
        <v>105</v>
      </c>
      <c r="L161" s="159" t="s">
        <v>106</v>
      </c>
      <c r="M161" s="11" t="s">
        <v>104</v>
      </c>
      <c r="N161" s="11" t="s">
        <v>105</v>
      </c>
      <c r="O161" s="11" t="s">
        <v>106</v>
      </c>
    </row>
    <row r="162" spans="7:16" x14ac:dyDescent="0.55000000000000004">
      <c r="G162" s="37" t="str">
        <f>TRIM(B13)</f>
        <v>Economic (Social) Discount Rate</v>
      </c>
      <c r="H162" s="139" t="str">
        <f>C13</f>
        <v>(%)</v>
      </c>
      <c r="I162" s="191">
        <f>D13</f>
        <v>0.12</v>
      </c>
      <c r="J162" s="151">
        <f>'4a.FAnalysis'!$C$22</f>
        <v>-3781.0194605355032</v>
      </c>
      <c r="K162" s="192">
        <f>'4a.FAnalysis'!$C$23</f>
        <v>0</v>
      </c>
      <c r="L162" s="144" t="str">
        <f>'4a.FAnalysis'!$C$24</f>
        <v xml:space="preserve">        n/a</v>
      </c>
      <c r="M162" s="196">
        <f>'7a.EAnalysis'!$C$30</f>
        <v>2531.2602835951411</v>
      </c>
      <c r="N162" s="192">
        <f>'7a.EAnalysis'!$C$31</f>
        <v>1.5489833835484563</v>
      </c>
      <c r="O162" s="140">
        <f>'7a.EAnalysis'!$C$32</f>
        <v>0.20389887128333317</v>
      </c>
      <c r="P162" s="190" t="s">
        <v>136</v>
      </c>
    </row>
    <row r="163" spans="7:16" x14ac:dyDescent="0.55000000000000004">
      <c r="I163" s="346">
        <v>0.08</v>
      </c>
      <c r="J163" s="145">
        <f t="dataTable" ref="J163:O167" dt2D="0" dtr="0" r1="D13" ca="1"/>
        <v>-3781.0194605355032</v>
      </c>
      <c r="K163" s="187">
        <v>0</v>
      </c>
      <c r="L163" s="146" t="str">
        <v xml:space="preserve">        n/a</v>
      </c>
      <c r="M163" s="197">
        <v>5790.5226511925484</v>
      </c>
      <c r="N163" s="187">
        <v>1.9398497462326578</v>
      </c>
      <c r="O163" s="141">
        <v>0.20389887128333317</v>
      </c>
    </row>
    <row r="164" spans="7:16" x14ac:dyDescent="0.55000000000000004">
      <c r="I164" s="346">
        <v>0.1</v>
      </c>
      <c r="J164" s="145">
        <v>-3781.0194605355032</v>
      </c>
      <c r="K164" s="187">
        <v>0</v>
      </c>
      <c r="L164" s="146" t="str">
        <v xml:space="preserve">        n/a</v>
      </c>
      <c r="M164" s="197">
        <v>3869.5283651118284</v>
      </c>
      <c r="N164" s="187">
        <v>1.7324072556559496</v>
      </c>
      <c r="O164" s="141">
        <v>0.20389887128333317</v>
      </c>
    </row>
    <row r="165" spans="7:16" x14ac:dyDescent="0.55000000000000004">
      <c r="I165" s="346">
        <v>0.12</v>
      </c>
      <c r="J165" s="145">
        <v>-3781.0194605355032</v>
      </c>
      <c r="K165" s="187">
        <v>0</v>
      </c>
      <c r="L165" s="146" t="str">
        <v xml:space="preserve">        n/a</v>
      </c>
      <c r="M165" s="197">
        <v>2531.2602835951411</v>
      </c>
      <c r="N165" s="187">
        <v>1.5489833835484563</v>
      </c>
      <c r="O165" s="141">
        <v>0.20389887128333317</v>
      </c>
    </row>
    <row r="166" spans="7:16" x14ac:dyDescent="0.55000000000000004">
      <c r="I166" s="346">
        <v>0.14000000000000001</v>
      </c>
      <c r="J166" s="145">
        <v>-3781.0194605355032</v>
      </c>
      <c r="K166" s="187">
        <v>0</v>
      </c>
      <c r="L166" s="146" t="str">
        <v xml:space="preserve">        n/a</v>
      </c>
      <c r="M166" s="197">
        <v>1584.7952890506228</v>
      </c>
      <c r="N166" s="187">
        <v>1.3882132728634582</v>
      </c>
      <c r="O166" s="141">
        <v>0.20389887128333317</v>
      </c>
    </row>
    <row r="167" spans="7:16" x14ac:dyDescent="0.55000000000000004">
      <c r="G167" s="179"/>
      <c r="H167" s="142"/>
      <c r="I167" s="347">
        <v>0.16</v>
      </c>
      <c r="J167" s="147">
        <v>-3781.0194605355032</v>
      </c>
      <c r="K167" s="195">
        <v>0</v>
      </c>
      <c r="L167" s="148" t="str">
        <v xml:space="preserve">        n/a</v>
      </c>
      <c r="M167" s="198">
        <v>906.7641745727276</v>
      </c>
      <c r="N167" s="195">
        <v>1.2479395063876488</v>
      </c>
      <c r="O167" s="120">
        <v>0.20389887128333317</v>
      </c>
    </row>
  </sheetData>
  <sheetProtection algorithmName="SHA-512" hashValue="QQhNsoF9BZnJ9ACnXYiyHGpr1nxccMA2n5Ym9iM0wy6PRNTApFUodz7vhWrLXbmuQDw3jJ3EGUTac7BpO560WA==" saltValue="NRCYz6nWxxC0albkN0AnJg==" spinCount="100000" sheet="1" objects="1" scenarios="1" autoFilter="0"/>
  <mergeCells count="60">
    <mergeCell ref="G144:G145"/>
    <mergeCell ref="I144:I145"/>
    <mergeCell ref="J144:L144"/>
    <mergeCell ref="M144:O144"/>
    <mergeCell ref="G104:G105"/>
    <mergeCell ref="I104:I105"/>
    <mergeCell ref="J104:L104"/>
    <mergeCell ref="M104:O104"/>
    <mergeCell ref="G112:G113"/>
    <mergeCell ref="I112:I113"/>
    <mergeCell ref="J112:L112"/>
    <mergeCell ref="M112:O112"/>
    <mergeCell ref="G128:G129"/>
    <mergeCell ref="I128:I129"/>
    <mergeCell ref="J128:L128"/>
    <mergeCell ref="M128:O128"/>
    <mergeCell ref="G136:G137"/>
    <mergeCell ref="I136:I137"/>
    <mergeCell ref="J136:L136"/>
    <mergeCell ref="M136:O136"/>
    <mergeCell ref="I72:I73"/>
    <mergeCell ref="I80:I81"/>
    <mergeCell ref="I88:I89"/>
    <mergeCell ref="I96:I97"/>
    <mergeCell ref="I120:I121"/>
    <mergeCell ref="J72:L72"/>
    <mergeCell ref="M72:O72"/>
    <mergeCell ref="J120:L120"/>
    <mergeCell ref="M120:O120"/>
    <mergeCell ref="G72:G73"/>
    <mergeCell ref="G80:G81"/>
    <mergeCell ref="G88:G89"/>
    <mergeCell ref="J64:L64"/>
    <mergeCell ref="M64:O64"/>
    <mergeCell ref="G48:G49"/>
    <mergeCell ref="J48:L48"/>
    <mergeCell ref="M48:O48"/>
    <mergeCell ref="G56:G57"/>
    <mergeCell ref="J56:L56"/>
    <mergeCell ref="M56:O56"/>
    <mergeCell ref="I48:I49"/>
    <mergeCell ref="I56:I57"/>
    <mergeCell ref="I64:I65"/>
    <mergeCell ref="G64:G65"/>
    <mergeCell ref="G96:G97"/>
    <mergeCell ref="G120:G121"/>
    <mergeCell ref="J80:L80"/>
    <mergeCell ref="M80:O80"/>
    <mergeCell ref="J88:L88"/>
    <mergeCell ref="M88:O88"/>
    <mergeCell ref="J96:L96"/>
    <mergeCell ref="M96:O96"/>
    <mergeCell ref="G160:G161"/>
    <mergeCell ref="I160:I161"/>
    <mergeCell ref="J160:L160"/>
    <mergeCell ref="M160:O160"/>
    <mergeCell ref="G152:G153"/>
    <mergeCell ref="I152:I153"/>
    <mergeCell ref="J152:L152"/>
    <mergeCell ref="M152:O152"/>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E2CB-D4B0-4B3A-BC2C-1925D6E0A5F2}">
  <sheetPr codeName="Sheet3">
    <tabColor theme="4" tint="0.59999389629810485"/>
  </sheetPr>
  <dimension ref="A1:W21"/>
  <sheetViews>
    <sheetView zoomScale="70" zoomScaleNormal="70" zoomScaleSheetLayoutView="70" workbookViewId="0">
      <pane xSplit="1" ySplit="7" topLeftCell="B8" activePane="bottomRight" state="frozen"/>
      <selection pane="topRight" activeCell="B1" sqref="B1"/>
      <selection pane="bottomLeft" activeCell="A9" sqref="A9"/>
      <selection pane="bottomRight"/>
    </sheetView>
  </sheetViews>
  <sheetFormatPr defaultColWidth="8.6640625" defaultRowHeight="18.5" customHeight="1" x14ac:dyDescent="0.55000000000000004"/>
  <cols>
    <col min="1" max="1" width="2.58203125" style="92" customWidth="1"/>
    <col min="2" max="3" width="10.25" style="92" customWidth="1"/>
    <col min="4" max="4" width="26.1640625" style="92" customWidth="1"/>
    <col min="5" max="11" width="10.25" style="92" customWidth="1"/>
    <col min="12" max="12" width="11.1640625" style="92" customWidth="1"/>
    <col min="13" max="14" width="10.25" style="92" customWidth="1"/>
    <col min="15" max="15" width="11.9140625" style="92" customWidth="1"/>
    <col min="16" max="16" width="10.25" style="92" customWidth="1"/>
    <col min="17" max="17" width="2.58203125" style="92" customWidth="1"/>
    <col min="18" max="16384" width="8.6640625" style="92"/>
  </cols>
  <sheetData>
    <row r="1" spans="1:23" s="90" customFormat="1" ht="20" x14ac:dyDescent="0.6">
      <c r="A1" s="5" t="str">
        <f>"Financial Costs ("&amp;MID('0.Contents'!A1,20,(LEN('0.Contents'!A1)-20))&amp;")----DPP format"</f>
        <v>Financial Costs (Rural Infrastructure Development)----DPP format</v>
      </c>
      <c r="C1" s="5"/>
      <c r="D1" s="91"/>
      <c r="E1" s="91"/>
      <c r="F1" s="91"/>
      <c r="G1" s="91"/>
      <c r="H1" s="91"/>
      <c r="I1" s="91"/>
      <c r="J1" s="91"/>
      <c r="K1" s="91"/>
      <c r="L1" s="91"/>
      <c r="M1" s="91"/>
      <c r="N1" s="91"/>
      <c r="O1" s="91"/>
      <c r="P1" s="91"/>
    </row>
    <row r="2" spans="1:23" s="89" customFormat="1" ht="18.5" customHeight="1" x14ac:dyDescent="0.6">
      <c r="B2" s="6" t="s">
        <v>277</v>
      </c>
      <c r="C2" s="6"/>
      <c r="D2" s="121"/>
      <c r="E2" s="121"/>
      <c r="F2" s="121"/>
      <c r="G2" s="121"/>
      <c r="H2" s="121"/>
      <c r="I2" s="121"/>
      <c r="J2" s="121"/>
      <c r="K2" s="121"/>
      <c r="L2" s="121"/>
      <c r="M2" s="121"/>
      <c r="N2" s="121"/>
      <c r="O2" s="121"/>
      <c r="P2" s="122" t="s">
        <v>81</v>
      </c>
    </row>
    <row r="3" spans="1:23" s="89" customFormat="1" ht="18.5" customHeight="1" x14ac:dyDescent="0.6">
      <c r="B3" s="374" t="s">
        <v>43</v>
      </c>
      <c r="C3" s="374" t="s">
        <v>82</v>
      </c>
      <c r="D3" s="374" t="s">
        <v>83</v>
      </c>
      <c r="E3" s="374" t="s">
        <v>44</v>
      </c>
      <c r="F3" s="374" t="s">
        <v>84</v>
      </c>
      <c r="G3" s="374" t="s">
        <v>45</v>
      </c>
      <c r="H3" s="377" t="s">
        <v>24</v>
      </c>
      <c r="I3" s="378"/>
      <c r="J3" s="378"/>
      <c r="K3" s="378"/>
      <c r="L3" s="378"/>
      <c r="M3" s="378"/>
      <c r="N3" s="378"/>
      <c r="O3" s="378"/>
      <c r="P3" s="379"/>
    </row>
    <row r="4" spans="1:23" s="89" customFormat="1" ht="18.5" customHeight="1" x14ac:dyDescent="0.6">
      <c r="B4" s="375"/>
      <c r="C4" s="375"/>
      <c r="D4" s="375"/>
      <c r="E4" s="375"/>
      <c r="F4" s="375"/>
      <c r="G4" s="375"/>
      <c r="H4" s="374" t="s">
        <v>46</v>
      </c>
      <c r="I4" s="377" t="s">
        <v>47</v>
      </c>
      <c r="J4" s="378"/>
      <c r="K4" s="378"/>
      <c r="L4" s="379"/>
      <c r="M4" s="374" t="s">
        <v>48</v>
      </c>
      <c r="N4" s="374" t="s">
        <v>49</v>
      </c>
      <c r="O4" s="374" t="s">
        <v>24</v>
      </c>
      <c r="P4" s="380" t="s">
        <v>50</v>
      </c>
    </row>
    <row r="5" spans="1:23" ht="18.5" customHeight="1" x14ac:dyDescent="0.55000000000000004">
      <c r="B5" s="375"/>
      <c r="C5" s="375"/>
      <c r="D5" s="375"/>
      <c r="E5" s="375"/>
      <c r="F5" s="375"/>
      <c r="G5" s="375"/>
      <c r="H5" s="375"/>
      <c r="I5" s="383" t="s">
        <v>51</v>
      </c>
      <c r="J5" s="384"/>
      <c r="K5" s="385" t="s">
        <v>52</v>
      </c>
      <c r="L5" s="386"/>
      <c r="M5" s="375"/>
      <c r="N5" s="375"/>
      <c r="O5" s="375"/>
      <c r="P5" s="381"/>
    </row>
    <row r="6" spans="1:23" ht="37" customHeight="1" x14ac:dyDescent="0.55000000000000004">
      <c r="B6" s="376"/>
      <c r="C6" s="376"/>
      <c r="D6" s="376"/>
      <c r="E6" s="376"/>
      <c r="F6" s="376"/>
      <c r="G6" s="376"/>
      <c r="H6" s="376"/>
      <c r="I6" s="104" t="s">
        <v>53</v>
      </c>
      <c r="J6" s="105" t="s">
        <v>85</v>
      </c>
      <c r="K6" s="105" t="s">
        <v>54</v>
      </c>
      <c r="L6" s="105" t="s">
        <v>55</v>
      </c>
      <c r="M6" s="376"/>
      <c r="N6" s="376"/>
      <c r="O6" s="376"/>
      <c r="P6" s="382"/>
    </row>
    <row r="7" spans="1:23" ht="18.5" customHeight="1" x14ac:dyDescent="0.55000000000000004">
      <c r="B7" s="106" t="s">
        <v>56</v>
      </c>
      <c r="C7" s="106" t="s">
        <v>57</v>
      </c>
      <c r="D7" s="107" t="s">
        <v>58</v>
      </c>
      <c r="E7" s="106" t="s">
        <v>59</v>
      </c>
      <c r="F7" s="107" t="s">
        <v>60</v>
      </c>
      <c r="G7" s="106" t="s">
        <v>61</v>
      </c>
      <c r="H7" s="107" t="s">
        <v>62</v>
      </c>
      <c r="I7" s="106" t="s">
        <v>63</v>
      </c>
      <c r="J7" s="107" t="s">
        <v>64</v>
      </c>
      <c r="K7" s="106" t="s">
        <v>65</v>
      </c>
      <c r="L7" s="107" t="s">
        <v>66</v>
      </c>
      <c r="M7" s="106" t="s">
        <v>67</v>
      </c>
      <c r="N7" s="107" t="s">
        <v>68</v>
      </c>
      <c r="O7" s="106" t="s">
        <v>86</v>
      </c>
      <c r="P7" s="107" t="s">
        <v>87</v>
      </c>
    </row>
    <row r="8" spans="1:23" ht="18.5" customHeight="1" x14ac:dyDescent="0.55000000000000004">
      <c r="B8" s="93" t="s">
        <v>69</v>
      </c>
      <c r="C8" s="94"/>
      <c r="D8" s="94"/>
      <c r="E8" s="94"/>
      <c r="F8" s="94"/>
      <c r="G8" s="94"/>
      <c r="H8" s="94"/>
      <c r="I8" s="94"/>
      <c r="J8" s="94"/>
      <c r="K8" s="94"/>
      <c r="L8" s="94"/>
      <c r="M8" s="94"/>
      <c r="N8" s="94"/>
      <c r="O8" s="94"/>
      <c r="P8" s="95"/>
    </row>
    <row r="9" spans="1:23" ht="18.5" customHeight="1" x14ac:dyDescent="0.55000000000000004">
      <c r="B9" s="96"/>
      <c r="C9" s="96"/>
      <c r="D9" s="97"/>
      <c r="E9" s="98"/>
      <c r="F9" s="98"/>
      <c r="G9" s="98"/>
      <c r="H9" s="348"/>
      <c r="I9" s="348"/>
      <c r="J9" s="348"/>
      <c r="K9" s="348"/>
      <c r="L9" s="348"/>
      <c r="M9" s="349"/>
      <c r="N9" s="348"/>
      <c r="O9" s="230">
        <f>SUM(H9:N9)</f>
        <v>0</v>
      </c>
      <c r="P9" s="124">
        <f>O9/$O$20</f>
        <v>0</v>
      </c>
      <c r="Q9" s="99"/>
      <c r="R9" s="373" t="s">
        <v>278</v>
      </c>
      <c r="S9" s="373"/>
      <c r="T9" s="373"/>
      <c r="U9" s="373"/>
      <c r="V9" s="373"/>
      <c r="W9" s="373"/>
    </row>
    <row r="10" spans="1:23" ht="18.5" customHeight="1" x14ac:dyDescent="0.55000000000000004">
      <c r="B10" s="96"/>
      <c r="C10" s="96"/>
      <c r="D10" s="97"/>
      <c r="E10" s="98"/>
      <c r="F10" s="98"/>
      <c r="G10" s="98"/>
      <c r="H10" s="348"/>
      <c r="I10" s="348"/>
      <c r="J10" s="348"/>
      <c r="K10" s="348"/>
      <c r="L10" s="348"/>
      <c r="M10" s="349"/>
      <c r="N10" s="348"/>
      <c r="O10" s="230">
        <f t="shared" ref="O10:O11" si="0">SUM(H10:N10)</f>
        <v>0</v>
      </c>
      <c r="P10" s="124">
        <f>O10/$O$20</f>
        <v>0</v>
      </c>
      <c r="Q10" s="99"/>
      <c r="R10" s="373"/>
      <c r="S10" s="373"/>
      <c r="T10" s="373"/>
      <c r="U10" s="373"/>
      <c r="V10" s="373"/>
      <c r="W10" s="373"/>
    </row>
    <row r="11" spans="1:23" ht="18.5" customHeight="1" x14ac:dyDescent="0.55000000000000004">
      <c r="B11" s="96"/>
      <c r="C11" s="96"/>
      <c r="D11" s="97"/>
      <c r="E11" s="98"/>
      <c r="F11" s="98"/>
      <c r="G11" s="98"/>
      <c r="H11" s="348"/>
      <c r="I11" s="348"/>
      <c r="J11" s="348"/>
      <c r="K11" s="348"/>
      <c r="L11" s="348"/>
      <c r="M11" s="349"/>
      <c r="N11" s="348"/>
      <c r="O11" s="230">
        <f t="shared" si="0"/>
        <v>0</v>
      </c>
      <c r="P11" s="124">
        <f>O11/$O$20</f>
        <v>0</v>
      </c>
      <c r="Q11" s="99"/>
      <c r="R11" s="373"/>
      <c r="S11" s="373"/>
      <c r="T11" s="373"/>
      <c r="U11" s="373"/>
      <c r="V11" s="373"/>
      <c r="W11" s="373"/>
    </row>
    <row r="12" spans="1:23" ht="18.5" customHeight="1" x14ac:dyDescent="0.55000000000000004">
      <c r="B12" s="391" t="s">
        <v>88</v>
      </c>
      <c r="C12" s="392"/>
      <c r="D12" s="393"/>
      <c r="E12" s="98"/>
      <c r="F12" s="98"/>
      <c r="G12" s="98"/>
      <c r="H12" s="348">
        <v>0</v>
      </c>
      <c r="I12" s="348">
        <v>0</v>
      </c>
      <c r="J12" s="348">
        <v>0</v>
      </c>
      <c r="K12" s="348">
        <v>0</v>
      </c>
      <c r="L12" s="348">
        <v>0</v>
      </c>
      <c r="M12" s="349">
        <v>0</v>
      </c>
      <c r="N12" s="348">
        <v>0</v>
      </c>
      <c r="O12" s="230">
        <f t="shared" ref="O12" si="1">SUM(H12:N12)</f>
        <v>0</v>
      </c>
      <c r="P12" s="124">
        <f>O12/$O$20</f>
        <v>0</v>
      </c>
      <c r="Q12" s="99"/>
      <c r="R12" s="373"/>
      <c r="S12" s="373"/>
      <c r="T12" s="373"/>
      <c r="U12" s="373"/>
      <c r="V12" s="373"/>
      <c r="W12" s="373"/>
    </row>
    <row r="13" spans="1:23" ht="18.5" customHeight="1" x14ac:dyDescent="0.55000000000000004">
      <c r="B13" s="387" t="s">
        <v>70</v>
      </c>
      <c r="C13" s="388"/>
      <c r="D13" s="388"/>
      <c r="E13" s="388"/>
      <c r="F13" s="388"/>
      <c r="G13" s="388"/>
      <c r="H13" s="388"/>
      <c r="I13" s="388"/>
      <c r="J13" s="388"/>
      <c r="K13" s="388"/>
      <c r="L13" s="388"/>
      <c r="M13" s="388"/>
      <c r="N13" s="388"/>
      <c r="O13" s="388"/>
      <c r="P13" s="389"/>
      <c r="Q13" s="99"/>
      <c r="R13" s="373"/>
      <c r="S13" s="373"/>
      <c r="T13" s="373"/>
      <c r="U13" s="373"/>
      <c r="V13" s="373"/>
      <c r="W13" s="373"/>
    </row>
    <row r="14" spans="1:23" ht="18.5" customHeight="1" x14ac:dyDescent="0.55000000000000004">
      <c r="B14" s="123"/>
      <c r="C14" s="123"/>
      <c r="D14" s="97"/>
      <c r="E14" s="98"/>
      <c r="F14" s="98"/>
      <c r="G14" s="98"/>
      <c r="H14" s="350"/>
      <c r="I14" s="350"/>
      <c r="J14" s="350"/>
      <c r="K14" s="350"/>
      <c r="L14" s="350"/>
      <c r="M14" s="351"/>
      <c r="N14" s="350"/>
      <c r="O14" s="230">
        <f>SUM(H14:N14)</f>
        <v>0</v>
      </c>
      <c r="P14" s="124">
        <f>O14/$O$20</f>
        <v>0</v>
      </c>
      <c r="Q14" s="99"/>
      <c r="R14" s="373"/>
      <c r="S14" s="373"/>
      <c r="T14" s="373"/>
      <c r="U14" s="373"/>
      <c r="V14" s="373"/>
      <c r="W14" s="373"/>
    </row>
    <row r="15" spans="1:23" ht="18" x14ac:dyDescent="0.55000000000000004">
      <c r="B15" s="168"/>
      <c r="C15" s="394" t="s">
        <v>267</v>
      </c>
      <c r="D15" s="395"/>
      <c r="E15" s="98"/>
      <c r="F15" s="98"/>
      <c r="G15" s="169"/>
      <c r="H15" s="351"/>
      <c r="I15" s="351"/>
      <c r="J15" s="351"/>
      <c r="K15" s="351"/>
      <c r="L15" s="351"/>
      <c r="M15" s="351"/>
      <c r="N15" s="350"/>
      <c r="O15" s="230">
        <f t="shared" ref="O15:O20" si="2">SUM(H15:N15)</f>
        <v>0</v>
      </c>
      <c r="P15" s="124">
        <f t="shared" ref="P15:P20" si="3">O15/$O$20</f>
        <v>0</v>
      </c>
      <c r="Q15" s="99"/>
      <c r="R15" s="99"/>
      <c r="S15" s="100"/>
    </row>
    <row r="16" spans="1:23" ht="18" x14ac:dyDescent="0.55000000000000004">
      <c r="B16" s="168"/>
      <c r="C16" s="394" t="s">
        <v>268</v>
      </c>
      <c r="D16" s="395"/>
      <c r="E16" s="98"/>
      <c r="F16" s="98"/>
      <c r="G16" s="169"/>
      <c r="H16" s="351"/>
      <c r="I16" s="351"/>
      <c r="J16" s="351"/>
      <c r="K16" s="351"/>
      <c r="L16" s="351"/>
      <c r="M16" s="351"/>
      <c r="N16" s="350"/>
      <c r="O16" s="230">
        <f t="shared" si="2"/>
        <v>0</v>
      </c>
      <c r="P16" s="124">
        <f t="shared" si="3"/>
        <v>0</v>
      </c>
      <c r="Q16" s="99"/>
      <c r="R16" s="99"/>
      <c r="S16" s="100"/>
    </row>
    <row r="17" spans="2:19" ht="18.5" customHeight="1" x14ac:dyDescent="0.55000000000000004">
      <c r="B17" s="391" t="s">
        <v>89</v>
      </c>
      <c r="C17" s="392"/>
      <c r="D17" s="393"/>
      <c r="E17" s="101"/>
      <c r="F17" s="101"/>
      <c r="G17" s="102"/>
      <c r="H17" s="350">
        <v>4849</v>
      </c>
      <c r="I17" s="350">
        <v>0</v>
      </c>
      <c r="J17" s="350">
        <v>0</v>
      </c>
      <c r="K17" s="350">
        <v>0</v>
      </c>
      <c r="L17" s="350">
        <v>0</v>
      </c>
      <c r="M17" s="350">
        <v>0</v>
      </c>
      <c r="N17" s="350">
        <v>0</v>
      </c>
      <c r="O17" s="230">
        <f t="shared" si="2"/>
        <v>4849</v>
      </c>
      <c r="P17" s="124">
        <f t="shared" si="3"/>
        <v>0.93457943925233655</v>
      </c>
      <c r="Q17" s="99"/>
      <c r="R17" s="99"/>
      <c r="S17" s="100"/>
    </row>
    <row r="18" spans="2:19" ht="18.5" customHeight="1" x14ac:dyDescent="0.55000000000000004">
      <c r="B18" s="387" t="str">
        <f>"(c) Physical Contingency ("&amp;TEXT('1.Params_8.Sensitivity'!D3,"0%")&amp;")"</f>
        <v>(c) Physical Contingency (2%)</v>
      </c>
      <c r="C18" s="388"/>
      <c r="D18" s="389"/>
      <c r="E18" s="98"/>
      <c r="F18" s="98"/>
      <c r="G18" s="98"/>
      <c r="H18" s="231">
        <f>(H$12+H$17)*'1.Params_8.Sensitivity'!$D$3</f>
        <v>96.98</v>
      </c>
      <c r="I18" s="231">
        <f>(I$12+I$17)*'1.Params_8.Sensitivity'!$D$3</f>
        <v>0</v>
      </c>
      <c r="J18" s="231">
        <f>(J$12+J$17)*'1.Params_8.Sensitivity'!$D$3</f>
        <v>0</v>
      </c>
      <c r="K18" s="231">
        <f>(K$12+K$17)*'1.Params_8.Sensitivity'!$D$3</f>
        <v>0</v>
      </c>
      <c r="L18" s="231">
        <f>(L$12+L$17)*'1.Params_8.Sensitivity'!$D$3</f>
        <v>0</v>
      </c>
      <c r="M18" s="231">
        <f>(M$12+M$17)*'1.Params_8.Sensitivity'!$D$3</f>
        <v>0</v>
      </c>
      <c r="N18" s="231">
        <f>(N$12+N$17)*'1.Params_8.Sensitivity'!$D$3</f>
        <v>0</v>
      </c>
      <c r="O18" s="230">
        <f t="shared" si="2"/>
        <v>96.98</v>
      </c>
      <c r="P18" s="124">
        <f t="shared" si="3"/>
        <v>1.8691588785046731E-2</v>
      </c>
      <c r="Q18" s="99"/>
      <c r="R18" s="167"/>
      <c r="S18" s="100"/>
    </row>
    <row r="19" spans="2:19" ht="18.5" customHeight="1" x14ac:dyDescent="0.55000000000000004">
      <c r="B19" s="387" t="str">
        <f>"(d) Price Contingency ("&amp;TEXT('1.Params_8.Sensitivity'!D4,"0%")&amp;")"</f>
        <v>(d) Price Contingency (5%)</v>
      </c>
      <c r="C19" s="388"/>
      <c r="D19" s="389"/>
      <c r="E19" s="98"/>
      <c r="F19" s="98"/>
      <c r="G19" s="98"/>
      <c r="H19" s="233">
        <f>(H$12+H$17)*'1.Params_8.Sensitivity'!$D$4</f>
        <v>242.45000000000002</v>
      </c>
      <c r="I19" s="232">
        <f>(I$12+I$17)*'1.Params_8.Sensitivity'!$D$4</f>
        <v>0</v>
      </c>
      <c r="J19" s="232">
        <f>(J$12+J$17)*'1.Params_8.Sensitivity'!$D$4</f>
        <v>0</v>
      </c>
      <c r="K19" s="232">
        <f>(K$12+K$17)*'1.Params_8.Sensitivity'!$D$4</f>
        <v>0</v>
      </c>
      <c r="L19" s="232">
        <f>(L$12+L$17)*'1.Params_8.Sensitivity'!$D$4</f>
        <v>0</v>
      </c>
      <c r="M19" s="232">
        <f>(M$12+M$17)*'1.Params_8.Sensitivity'!$D$4</f>
        <v>0</v>
      </c>
      <c r="N19" s="232">
        <f>(N$12+N$17)*'1.Params_8.Sensitivity'!$D$4</f>
        <v>0</v>
      </c>
      <c r="O19" s="230">
        <f t="shared" si="2"/>
        <v>242.45000000000002</v>
      </c>
      <c r="P19" s="124">
        <f t="shared" si="3"/>
        <v>4.6728971962616835E-2</v>
      </c>
      <c r="Q19" s="99"/>
      <c r="R19" s="99"/>
      <c r="S19" s="100"/>
    </row>
    <row r="20" spans="2:19" ht="18.5" customHeight="1" x14ac:dyDescent="0.55000000000000004">
      <c r="B20" s="390" t="s">
        <v>90</v>
      </c>
      <c r="C20" s="390"/>
      <c r="D20" s="390"/>
      <c r="E20" s="103"/>
      <c r="F20" s="103"/>
      <c r="G20" s="103"/>
      <c r="H20" s="234">
        <f>H$12+H$17+H$18+H$19</f>
        <v>5188.4299999999994</v>
      </c>
      <c r="I20" s="234">
        <f t="shared" ref="I20:N20" si="4">I$12+I$17+I$18+I$19</f>
        <v>0</v>
      </c>
      <c r="J20" s="234">
        <f t="shared" si="4"/>
        <v>0</v>
      </c>
      <c r="K20" s="234">
        <f t="shared" si="4"/>
        <v>0</v>
      </c>
      <c r="L20" s="234">
        <f t="shared" si="4"/>
        <v>0</v>
      </c>
      <c r="M20" s="234">
        <f t="shared" si="4"/>
        <v>0</v>
      </c>
      <c r="N20" s="234">
        <f t="shared" si="4"/>
        <v>0</v>
      </c>
      <c r="O20" s="238">
        <f t="shared" si="2"/>
        <v>5188.4299999999994</v>
      </c>
      <c r="P20" s="124">
        <f t="shared" si="3"/>
        <v>1</v>
      </c>
    </row>
    <row r="21" spans="2:19" ht="18.5" customHeight="1" x14ac:dyDescent="0.55000000000000004">
      <c r="B21" s="92" t="s">
        <v>91</v>
      </c>
    </row>
  </sheetData>
  <sheetProtection algorithmName="SHA-512" hashValue="E/OIxZ0CkESmC1U8RoFtYfdDESSGFWrtY/huNcfWSmcAeaEzmD0IvAMIOUwBzSJxUKyZQ3J07YM82H2pSnXn+g==" saltValue="6sN4OKCjrfvnjIzZuIjuKw==" spinCount="100000" sheet="1" objects="1" scenarios="1" autoFilter="0"/>
  <mergeCells count="24">
    <mergeCell ref="B19:D19"/>
    <mergeCell ref="B20:D20"/>
    <mergeCell ref="B12:D12"/>
    <mergeCell ref="B13:P13"/>
    <mergeCell ref="B17:D17"/>
    <mergeCell ref="B18:D18"/>
    <mergeCell ref="C15:D15"/>
    <mergeCell ref="C16:D16"/>
    <mergeCell ref="R9:W14"/>
    <mergeCell ref="B3:B6"/>
    <mergeCell ref="H3:P3"/>
    <mergeCell ref="G3:G6"/>
    <mergeCell ref="F3:F6"/>
    <mergeCell ref="E3:E6"/>
    <mergeCell ref="D3:D6"/>
    <mergeCell ref="H4:H6"/>
    <mergeCell ref="C3:C6"/>
    <mergeCell ref="I4:L4"/>
    <mergeCell ref="M4:M6"/>
    <mergeCell ref="N4:N6"/>
    <mergeCell ref="P4:P6"/>
    <mergeCell ref="I5:J5"/>
    <mergeCell ref="K5:L5"/>
    <mergeCell ref="O4:O6"/>
  </mergeCells>
  <phoneticPr fontId="3"/>
  <pageMargins left="0.7" right="0.7" top="0.75" bottom="0.75" header="0.3" footer="0.3"/>
  <pageSetup paperSize="9" scale="49" firstPageNumber="71" fitToHeight="0" orientation="portrait" useFirstPageNumber="1" r:id="rId1"/>
  <headerFooter scaleWithDoc="0" alignWithMargins="0">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D81A-7B7F-4982-9D6E-5E73A71D87A8}">
  <sheetPr codeName="Sheet4">
    <tabColor theme="4" tint="0.59999389629810485"/>
  </sheetPr>
  <dimension ref="A1:AF58"/>
  <sheetViews>
    <sheetView zoomScale="70" zoomScaleNormal="7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67.4140625" customWidth="1"/>
    <col min="3" max="3" width="9.9140625" customWidth="1"/>
    <col min="4" max="4" width="8.6640625" customWidth="1"/>
    <col min="5" max="7" width="9.83203125" customWidth="1"/>
    <col min="8" max="8" width="9.75" customWidth="1"/>
    <col min="9" max="32" width="9.75" bestFit="1" customWidth="1"/>
  </cols>
  <sheetData>
    <row r="1" spans="1:8" s="3" customFormat="1" ht="20" x14ac:dyDescent="0.6">
      <c r="A1" s="5" t="str">
        <f>"Financial Costs ("&amp;MID('0.Contents'!A1,20,(LEN('0.Contents'!A1)-20))&amp;")----General format"</f>
        <v>Financial Costs (Rural Infrastructure Development)----General format</v>
      </c>
    </row>
    <row r="2" spans="1:8" ht="19" customHeight="1" x14ac:dyDescent="0.6">
      <c r="A2" s="6"/>
      <c r="B2" s="400" t="s">
        <v>11</v>
      </c>
      <c r="C2" s="399" t="s">
        <v>27</v>
      </c>
      <c r="D2" s="399"/>
      <c r="E2" s="399"/>
      <c r="F2" s="402" t="s">
        <v>4</v>
      </c>
      <c r="G2" s="402" t="s">
        <v>120</v>
      </c>
    </row>
    <row r="3" spans="1:8" ht="36.5" thickBot="1" x14ac:dyDescent="0.65">
      <c r="A3" s="6"/>
      <c r="B3" s="401"/>
      <c r="C3" s="162" t="s">
        <v>118</v>
      </c>
      <c r="D3" s="162" t="s">
        <v>117</v>
      </c>
      <c r="E3" s="162" t="s">
        <v>119</v>
      </c>
      <c r="F3" s="403"/>
      <c r="G3" s="404"/>
    </row>
    <row r="4" spans="1:8" ht="18.5" thickBot="1" x14ac:dyDescent="0.6">
      <c r="B4" s="4" t="s">
        <v>5</v>
      </c>
      <c r="C4" s="352">
        <v>0</v>
      </c>
      <c r="D4" s="353">
        <v>0</v>
      </c>
      <c r="E4" s="353">
        <v>0</v>
      </c>
      <c r="F4" s="352">
        <v>0</v>
      </c>
      <c r="G4" s="51">
        <f>SUM(C4:E4)+F4*'1.Params_8.Sensitivity'!$D$15</f>
        <v>0</v>
      </c>
    </row>
    <row r="5" spans="1:8" ht="18.5" thickBot="1" x14ac:dyDescent="0.6">
      <c r="B5" s="4" t="s">
        <v>6</v>
      </c>
      <c r="C5" s="52">
        <f>SUM(C6:C7)</f>
        <v>0</v>
      </c>
      <c r="D5" s="52">
        <f t="shared" ref="D5:E5" si="0">SUM(D6:D7)</f>
        <v>0</v>
      </c>
      <c r="E5" s="52">
        <f t="shared" si="0"/>
        <v>0</v>
      </c>
      <c r="F5" s="52">
        <f>SUM(F6:F7)</f>
        <v>0</v>
      </c>
      <c r="G5" s="52">
        <f>SUM(G6:G7)</f>
        <v>0</v>
      </c>
    </row>
    <row r="6" spans="1:8" ht="18.5" thickBot="1" x14ac:dyDescent="0.6">
      <c r="B6" s="4" t="s">
        <v>9</v>
      </c>
      <c r="C6" s="352">
        <v>0</v>
      </c>
      <c r="D6" s="354">
        <v>0</v>
      </c>
      <c r="E6" s="354">
        <v>0</v>
      </c>
      <c r="F6" s="352">
        <v>0</v>
      </c>
      <c r="G6" s="51">
        <f>SUM(C6:E6)+F6*'1.Params_8.Sensitivity'!$D$15</f>
        <v>0</v>
      </c>
    </row>
    <row r="7" spans="1:8" ht="18.5" thickBot="1" x14ac:dyDescent="0.6">
      <c r="B7" s="4" t="s">
        <v>10</v>
      </c>
      <c r="C7" s="352">
        <v>0</v>
      </c>
      <c r="D7" s="354">
        <v>0</v>
      </c>
      <c r="E7" s="354">
        <v>0</v>
      </c>
      <c r="F7" s="352">
        <v>0</v>
      </c>
      <c r="G7" s="51">
        <f>SUM(C7:E7)+F7*'1.Params_8.Sensitivity'!$D$15</f>
        <v>0</v>
      </c>
    </row>
    <row r="8" spans="1:8" ht="18.5" thickBot="1" x14ac:dyDescent="0.6">
      <c r="B8" s="4" t="s">
        <v>7</v>
      </c>
      <c r="C8" s="352">
        <v>0</v>
      </c>
      <c r="D8" s="354">
        <v>0</v>
      </c>
      <c r="E8" s="354">
        <v>0</v>
      </c>
      <c r="F8" s="352">
        <v>0</v>
      </c>
      <c r="G8" s="51">
        <f>SUM(C8:E8)+F8*'1.Params_8.Sensitivity'!$D$15</f>
        <v>0</v>
      </c>
    </row>
    <row r="9" spans="1:8" ht="18.5" thickBot="1" x14ac:dyDescent="0.6">
      <c r="B9" s="4" t="s">
        <v>234</v>
      </c>
      <c r="C9" s="352">
        <v>0</v>
      </c>
      <c r="D9" s="354">
        <v>0</v>
      </c>
      <c r="E9" s="354">
        <v>0</v>
      </c>
      <c r="F9" s="352">
        <v>0</v>
      </c>
      <c r="G9" s="51">
        <f>SUM(C9:E9)+F9*'1.Params_8.Sensitivity'!$D$15</f>
        <v>0</v>
      </c>
    </row>
    <row r="10" spans="1:8" ht="18.5" thickBot="1" x14ac:dyDescent="0.6">
      <c r="B10" s="4" t="s">
        <v>8</v>
      </c>
      <c r="C10" s="352">
        <v>0</v>
      </c>
      <c r="D10" s="354">
        <v>0</v>
      </c>
      <c r="E10" s="354">
        <v>0</v>
      </c>
      <c r="F10" s="352">
        <v>0</v>
      </c>
      <c r="G10" s="51">
        <f>SUM(C10:E10)+F10*'1.Params_8.Sensitivity'!$D$15</f>
        <v>0</v>
      </c>
    </row>
    <row r="11" spans="1:8" ht="18.5" thickBot="1" x14ac:dyDescent="0.6">
      <c r="B11" s="9" t="s">
        <v>32</v>
      </c>
      <c r="C11" s="352">
        <v>0</v>
      </c>
      <c r="D11" s="354">
        <v>0</v>
      </c>
      <c r="E11" s="354">
        <v>0</v>
      </c>
      <c r="F11" s="352">
        <v>0</v>
      </c>
      <c r="G11" s="278">
        <f>SUM(C11:E11)+F11*'1.Params_8.Sensitivity'!$D$15</f>
        <v>0</v>
      </c>
    </row>
    <row r="12" spans="1:8" x14ac:dyDescent="0.55000000000000004">
      <c r="B12" s="170" t="s">
        <v>269</v>
      </c>
      <c r="C12" s="54">
        <f>SUM(C4,C6:C11)</f>
        <v>0</v>
      </c>
      <c r="D12" s="54">
        <f>SUM(D4,D6:D11)</f>
        <v>0</v>
      </c>
      <c r="E12" s="54">
        <f>SUM(E4,E6:E11)</f>
        <v>0</v>
      </c>
      <c r="F12" s="54">
        <f>SUM(F4,F6:F11)</f>
        <v>0</v>
      </c>
      <c r="G12" s="55">
        <f>SUM(G4,G6:G11)</f>
        <v>0</v>
      </c>
    </row>
    <row r="13" spans="1:8" x14ac:dyDescent="0.55000000000000004">
      <c r="B13" s="4" t="str">
        <f>"Physical Contingency ("&amp;TEXT('1.Params_8.Sensitivity'!D3,"0%")&amp;")"</f>
        <v>Physical Contingency (2%)</v>
      </c>
      <c r="C13" s="61">
        <f>C12*'1.Params_8.Sensitivity'!$D$3</f>
        <v>0</v>
      </c>
      <c r="D13" s="61">
        <f>D12*'1.Params_8.Sensitivity'!$D$3</f>
        <v>0</v>
      </c>
      <c r="E13" s="61">
        <f>E12*'1.Params_8.Sensitivity'!$D$3</f>
        <v>0</v>
      </c>
      <c r="F13" s="61">
        <f>F12*'1.Params_8.Sensitivity'!$D$3</f>
        <v>0</v>
      </c>
      <c r="G13" s="51">
        <f>SUM(C13:E13)+F13*'1.Params_8.Sensitivity'!$D$15</f>
        <v>0</v>
      </c>
    </row>
    <row r="14" spans="1:8" x14ac:dyDescent="0.55000000000000004">
      <c r="B14" s="171" t="str">
        <f>_xlfn.CONCAT("Price Contingency, Local currency ("&amp;TEXT('1.Params_8.Sensitivity'!D4,"0%")&amp;")"," / Foreign currency ("&amp;TEXT('1.Params_8.Sensitivity'!D5,"0%")&amp;")")</f>
        <v>Price Contingency, Local currency (5%) / Foreign currency (5%)</v>
      </c>
      <c r="C14" s="65">
        <f>C12*'1.Params_8.Sensitivity'!$D$4</f>
        <v>0</v>
      </c>
      <c r="D14" s="65">
        <f>D12*'1.Params_8.Sensitivity'!$D$4</f>
        <v>0</v>
      </c>
      <c r="E14" s="65">
        <f>E12*'1.Params_8.Sensitivity'!$D$4</f>
        <v>0</v>
      </c>
      <c r="F14" s="65">
        <f>F12*'1.Params_8.Sensitivity'!$D$5</f>
        <v>0</v>
      </c>
      <c r="G14" s="51">
        <f>SUM(C14:E14)+F14*'1.Params_8.Sensitivity'!$D$15</f>
        <v>0</v>
      </c>
    </row>
    <row r="15" spans="1:8" x14ac:dyDescent="0.55000000000000004">
      <c r="B15" s="170" t="s">
        <v>272</v>
      </c>
      <c r="C15" s="65">
        <f>SUM(C12:C14)</f>
        <v>0</v>
      </c>
      <c r="D15" s="65">
        <f t="shared" ref="D15:G15" si="1">SUM(D12:D14)</f>
        <v>0</v>
      </c>
      <c r="E15" s="65">
        <f t="shared" si="1"/>
        <v>0</v>
      </c>
      <c r="F15" s="65">
        <f t="shared" si="1"/>
        <v>0</v>
      </c>
      <c r="G15" s="320">
        <f t="shared" si="1"/>
        <v>0</v>
      </c>
      <c r="H15" s="136"/>
    </row>
    <row r="16" spans="1:8" x14ac:dyDescent="0.55000000000000004">
      <c r="B16" s="170" t="s">
        <v>271</v>
      </c>
      <c r="C16" s="54">
        <f>C15-C14</f>
        <v>0</v>
      </c>
      <c r="D16" s="54">
        <f t="shared" ref="D16:G16" si="2">D15-D14</f>
        <v>0</v>
      </c>
      <c r="E16" s="54">
        <f t="shared" si="2"/>
        <v>0</v>
      </c>
      <c r="F16" s="54">
        <f t="shared" si="2"/>
        <v>0</v>
      </c>
      <c r="G16" s="69">
        <f t="shared" si="2"/>
        <v>0</v>
      </c>
      <c r="H16" s="136" t="s">
        <v>103</v>
      </c>
    </row>
    <row r="17" spans="2:14" ht="18.5" customHeight="1" thickBot="1" x14ac:dyDescent="0.6">
      <c r="B17" s="279"/>
      <c r="C17" s="61"/>
      <c r="D17" s="1"/>
      <c r="E17" s="1"/>
      <c r="F17" s="61"/>
      <c r="G17" s="61"/>
    </row>
    <row r="18" spans="2:14" ht="18.5" customHeight="1" x14ac:dyDescent="0.55000000000000004">
      <c r="B18" s="294" t="s">
        <v>276</v>
      </c>
      <c r="C18" s="285" t="s">
        <v>118</v>
      </c>
      <c r="D18" s="286" t="s">
        <v>273</v>
      </c>
      <c r="E18" s="286" t="s">
        <v>274</v>
      </c>
      <c r="F18" s="285" t="s">
        <v>275</v>
      </c>
      <c r="G18" s="287" t="s">
        <v>24</v>
      </c>
      <c r="I18" s="396" t="s">
        <v>279</v>
      </c>
      <c r="J18" s="397"/>
      <c r="K18" s="397"/>
      <c r="L18" s="397"/>
      <c r="M18" s="397"/>
      <c r="N18" s="397"/>
    </row>
    <row r="19" spans="2:14" x14ac:dyDescent="0.55000000000000004">
      <c r="B19" s="288" t="s">
        <v>32</v>
      </c>
      <c r="C19" s="55">
        <f>SUM('2a.FCosts'!H15:H16)+C11</f>
        <v>0</v>
      </c>
      <c r="D19" s="172">
        <f>SUM('2a.FCosts'!I15:L16)+D11</f>
        <v>0</v>
      </c>
      <c r="E19" s="172">
        <f>SUM('2a.FCosts'!M15:N16)+E11</f>
        <v>0</v>
      </c>
      <c r="F19" s="55">
        <f>0+F11</f>
        <v>0</v>
      </c>
      <c r="G19" s="289">
        <f>SUM(C19:E19)+F19*'1.Params_8.Sensitivity'!$D$15+G11</f>
        <v>0</v>
      </c>
      <c r="I19" s="397"/>
      <c r="J19" s="397"/>
      <c r="K19" s="397"/>
      <c r="L19" s="397"/>
      <c r="M19" s="397"/>
      <c r="N19" s="397"/>
    </row>
    <row r="20" spans="2:14" x14ac:dyDescent="0.55000000000000004">
      <c r="B20" s="280" t="s">
        <v>269</v>
      </c>
      <c r="C20" s="61">
        <f>'2a.FCosts'!H12+'2a.FCosts'!H17+C12</f>
        <v>4849</v>
      </c>
      <c r="D20" s="40">
        <f>SUM('2a.FCosts'!I12:L12)+SUM('2a.FCosts'!I17:L17)+D12</f>
        <v>0</v>
      </c>
      <c r="E20" s="40">
        <f>SUM('2a.FCosts'!M12:N12)+SUM('2a.FCosts'!M17:N17)+E12</f>
        <v>0</v>
      </c>
      <c r="F20" s="61">
        <f>0+F12</f>
        <v>0</v>
      </c>
      <c r="G20" s="289">
        <f>SUM(C20:E20)+F20*'1.Params_8.Sensitivity'!$D$15</f>
        <v>4849</v>
      </c>
      <c r="I20" s="397"/>
      <c r="J20" s="397"/>
      <c r="K20" s="397"/>
      <c r="L20" s="397"/>
      <c r="M20" s="397"/>
      <c r="N20" s="397"/>
    </row>
    <row r="21" spans="2:14" x14ac:dyDescent="0.55000000000000004">
      <c r="B21" s="290" t="s">
        <v>26</v>
      </c>
      <c r="C21" s="61">
        <f>'2a.FCosts'!$H$18+C13</f>
        <v>96.98</v>
      </c>
      <c r="D21" s="40">
        <f>SUM('2a.FCosts'!$I$18:$L$18)+D13</f>
        <v>0</v>
      </c>
      <c r="E21" s="40">
        <f>SUM('2a.FCosts'!$M$18:$N$18)+E13</f>
        <v>0</v>
      </c>
      <c r="F21" s="61">
        <f>0+F13</f>
        <v>0</v>
      </c>
      <c r="G21" s="291">
        <f>SUM(C21:E21)+F21*'1.Params_8.Sensitivity'!$D$15</f>
        <v>96.98</v>
      </c>
      <c r="I21" s="397"/>
      <c r="J21" s="397"/>
      <c r="K21" s="397"/>
      <c r="L21" s="397"/>
      <c r="M21" s="397"/>
      <c r="N21" s="397"/>
    </row>
    <row r="22" spans="2:14" x14ac:dyDescent="0.55000000000000004">
      <c r="B22" s="292" t="s">
        <v>25</v>
      </c>
      <c r="C22" s="54">
        <f>'2a.FCosts'!$H$19+C14</f>
        <v>242.45000000000002</v>
      </c>
      <c r="D22" s="38">
        <f>SUM('2a.FCosts'!$I$19:$L$19)+D14</f>
        <v>0</v>
      </c>
      <c r="E22" s="38">
        <f>SUM('2a.FCosts'!$M$19:$N$19)+E14</f>
        <v>0</v>
      </c>
      <c r="F22" s="54">
        <f>0+F14</f>
        <v>0</v>
      </c>
      <c r="G22" s="293">
        <f>SUM(C22:E22)+F22*'1.Params_8.Sensitivity'!$D$15</f>
        <v>242.45000000000002</v>
      </c>
      <c r="I22" s="397"/>
      <c r="J22" s="397"/>
      <c r="K22" s="397"/>
      <c r="L22" s="397"/>
      <c r="M22" s="397"/>
      <c r="N22" s="397"/>
    </row>
    <row r="23" spans="2:14" x14ac:dyDescent="0.55000000000000004">
      <c r="B23" s="280" t="s">
        <v>272</v>
      </c>
      <c r="C23" s="55">
        <f>'2a.FCosts'!$H$20+C15</f>
        <v>5188.4299999999994</v>
      </c>
      <c r="D23" s="172">
        <f>SUM('2a.FCosts'!I20:$L$20)+D15</f>
        <v>0</v>
      </c>
      <c r="E23" s="172">
        <f>SUM('2a.FCosts'!M20:N20)+E15</f>
        <v>0</v>
      </c>
      <c r="F23" s="55">
        <f>0+F15</f>
        <v>0</v>
      </c>
      <c r="G23" s="281">
        <f>SUM(C23:E23)+F23*'1.Params_8.Sensitivity'!$D$15</f>
        <v>5188.4299999999994</v>
      </c>
      <c r="H23" s="136"/>
      <c r="I23" s="397"/>
      <c r="J23" s="397"/>
      <c r="K23" s="397"/>
      <c r="L23" s="397"/>
      <c r="M23" s="397"/>
      <c r="N23" s="397"/>
    </row>
    <row r="24" spans="2:14" ht="18.5" thickBot="1" x14ac:dyDescent="0.6">
      <c r="B24" s="282" t="s">
        <v>270</v>
      </c>
      <c r="C24" s="283">
        <f>C23-C22</f>
        <v>4945.9799999999996</v>
      </c>
      <c r="D24" s="283">
        <f t="shared" ref="D24:G24" si="3">D23-D22</f>
        <v>0</v>
      </c>
      <c r="E24" s="283">
        <f t="shared" si="3"/>
        <v>0</v>
      </c>
      <c r="F24" s="283">
        <f t="shared" si="3"/>
        <v>0</v>
      </c>
      <c r="G24" s="284">
        <f t="shared" si="3"/>
        <v>4945.9799999999996</v>
      </c>
      <c r="H24" s="136" t="s">
        <v>103</v>
      </c>
    </row>
    <row r="25" spans="2:14" x14ac:dyDescent="0.55000000000000004">
      <c r="C25" s="50"/>
      <c r="D25" s="50"/>
      <c r="E25" s="50"/>
      <c r="F25" s="50"/>
      <c r="G25" s="50"/>
    </row>
    <row r="26" spans="2:14" x14ac:dyDescent="0.55000000000000004">
      <c r="B26" s="7" t="s">
        <v>11</v>
      </c>
      <c r="C26" s="14">
        <v>1</v>
      </c>
      <c r="D26" s="12">
        <v>2</v>
      </c>
      <c r="E26" s="14">
        <v>3</v>
      </c>
      <c r="F26" s="12">
        <v>4</v>
      </c>
      <c r="G26" s="14">
        <v>5</v>
      </c>
      <c r="H26" s="7" t="s">
        <v>24</v>
      </c>
    </row>
    <row r="27" spans="2:14" ht="18.5" thickBot="1" x14ac:dyDescent="0.6">
      <c r="B27" s="17" t="s">
        <v>292</v>
      </c>
      <c r="C27" s="163">
        <f>C28/$H$28</f>
        <v>0.04</v>
      </c>
      <c r="D27" s="163">
        <f>D28/$H$28</f>
        <v>0.1</v>
      </c>
      <c r="E27" s="163">
        <f>E28/$H$28</f>
        <v>0.3</v>
      </c>
      <c r="F27" s="163">
        <f>F28/$H$28</f>
        <v>0.45000000000000007</v>
      </c>
      <c r="G27" s="163">
        <f>G28/$H$28</f>
        <v>0.10999999999999999</v>
      </c>
      <c r="H27" s="72">
        <f>SUM(C27:G27)</f>
        <v>1</v>
      </c>
      <c r="I27" s="23" t="s">
        <v>35</v>
      </c>
    </row>
    <row r="28" spans="2:14" ht="18.5" thickBot="1" x14ac:dyDescent="0.6">
      <c r="B28" s="63" t="s">
        <v>29</v>
      </c>
      <c r="C28" s="352">
        <v>197.83919999999995</v>
      </c>
      <c r="D28" s="355">
        <v>494.5979999999999</v>
      </c>
      <c r="E28" s="352">
        <v>1483.7939999999996</v>
      </c>
      <c r="F28" s="352">
        <v>2225.6909999999998</v>
      </c>
      <c r="G28" s="356">
        <v>544.05779999999982</v>
      </c>
      <c r="H28" s="126">
        <f>SUM(C28:G28)</f>
        <v>4945.9799999999987</v>
      </c>
      <c r="I28" s="136" t="s">
        <v>103</v>
      </c>
    </row>
    <row r="29" spans="2:14" x14ac:dyDescent="0.55000000000000004">
      <c r="C29" s="398" t="s">
        <v>126</v>
      </c>
      <c r="D29" s="398"/>
      <c r="E29" s="398"/>
      <c r="F29" s="398"/>
      <c r="G29" s="398"/>
      <c r="H29" s="38">
        <f>G24-H28</f>
        <v>0</v>
      </c>
      <c r="I29" s="23" t="s">
        <v>111</v>
      </c>
    </row>
    <row r="31" spans="2:14" x14ac:dyDescent="0.55000000000000004">
      <c r="B31" s="7" t="s">
        <v>11</v>
      </c>
      <c r="C31" s="9"/>
    </row>
    <row r="32" spans="2:14" ht="18.5" thickBot="1" x14ac:dyDescent="0.6">
      <c r="B32" s="16" t="s">
        <v>109</v>
      </c>
    </row>
    <row r="33" spans="2:6" ht="18.5" thickBot="1" x14ac:dyDescent="0.6">
      <c r="B33" s="4" t="s">
        <v>108</v>
      </c>
      <c r="C33" s="352">
        <v>0</v>
      </c>
    </row>
    <row r="34" spans="2:6" ht="18.5" thickBot="1" x14ac:dyDescent="0.6">
      <c r="B34" s="4" t="s">
        <v>41</v>
      </c>
      <c r="C34" s="357">
        <v>0</v>
      </c>
    </row>
    <row r="35" spans="2:6" ht="18.5" thickBot="1" x14ac:dyDescent="0.6">
      <c r="B35" s="4" t="s">
        <v>121</v>
      </c>
      <c r="C35" s="66"/>
    </row>
    <row r="36" spans="2:6" ht="18.5" thickBot="1" x14ac:dyDescent="0.6">
      <c r="B36" s="4" t="s">
        <v>108</v>
      </c>
      <c r="C36" s="352">
        <v>0</v>
      </c>
    </row>
    <row r="37" spans="2:6" ht="18.5" thickBot="1" x14ac:dyDescent="0.6">
      <c r="B37" s="4" t="s">
        <v>41</v>
      </c>
      <c r="C37" s="357">
        <v>0</v>
      </c>
    </row>
    <row r="38" spans="2:6" ht="18.5" thickBot="1" x14ac:dyDescent="0.6">
      <c r="B38" s="4" t="s">
        <v>110</v>
      </c>
      <c r="C38" s="66"/>
    </row>
    <row r="39" spans="2:6" ht="18.5" thickBot="1" x14ac:dyDescent="0.6">
      <c r="B39" s="4" t="s">
        <v>108</v>
      </c>
      <c r="C39" s="352">
        <v>0</v>
      </c>
    </row>
    <row r="40" spans="2:6" ht="18.5" thickBot="1" x14ac:dyDescent="0.6">
      <c r="B40" s="4" t="s">
        <v>41</v>
      </c>
      <c r="C40" s="358">
        <v>0</v>
      </c>
    </row>
    <row r="41" spans="2:6" ht="18.5" thickBot="1" x14ac:dyDescent="0.6">
      <c r="B41" s="9" t="str">
        <f>"Declining Balance Method - (Depreciation Rate: "&amp;TEXT('1.Params_8.Sensitivity'!I45,"0%")&amp;")"</f>
        <v>Declining Balance Method - (Depreciation Rate: 10%)</v>
      </c>
      <c r="C41" s="359">
        <f>$G24/(1+'1.Params_8.Sensitivity'!$I$45)^'1.Params_8.Sensitivity'!$I$3</f>
        <v>283.44695845651069</v>
      </c>
      <c r="D41" s="190" t="s">
        <v>280</v>
      </c>
    </row>
    <row r="42" spans="2:6" x14ac:dyDescent="0.55000000000000004">
      <c r="B42" s="15" t="s">
        <v>12</v>
      </c>
      <c r="C42" s="126">
        <f>C33*C34+C36*C37+C39*C40+C41</f>
        <v>283.44695845651069</v>
      </c>
      <c r="D42" s="136" t="s">
        <v>103</v>
      </c>
    </row>
    <row r="45" spans="2:6" ht="54.5" thickBot="1" x14ac:dyDescent="0.6">
      <c r="B45" s="7" t="s">
        <v>11</v>
      </c>
      <c r="C45" s="13" t="s">
        <v>27</v>
      </c>
      <c r="D45" s="13" t="s">
        <v>4</v>
      </c>
      <c r="E45" s="8" t="s">
        <v>28</v>
      </c>
    </row>
    <row r="46" spans="2:6" ht="18.5" thickBot="1" x14ac:dyDescent="0.6">
      <c r="B46" s="16" t="s">
        <v>42</v>
      </c>
      <c r="C46" s="360">
        <v>0</v>
      </c>
      <c r="D46" s="352">
        <v>0</v>
      </c>
      <c r="E46" s="51">
        <f>C46+D46*'1.Params_8.Sensitivity'!$D$15</f>
        <v>0</v>
      </c>
      <c r="F46" s="190"/>
    </row>
    <row r="47" spans="2:6" ht="18.5" thickBot="1" x14ac:dyDescent="0.6">
      <c r="B47" s="16" t="s">
        <v>14</v>
      </c>
      <c r="C47" s="360">
        <f>$G$24*0.02</f>
        <v>98.919599999999988</v>
      </c>
      <c r="D47" s="352">
        <v>0</v>
      </c>
      <c r="E47" s="51">
        <f>C47+D47*'1.Params_8.Sensitivity'!$D$15</f>
        <v>98.919599999999988</v>
      </c>
      <c r="F47" s="190" t="s">
        <v>144</v>
      </c>
    </row>
    <row r="48" spans="2:6" ht="18.5" thickBot="1" x14ac:dyDescent="0.6">
      <c r="B48" s="4" t="s">
        <v>6</v>
      </c>
      <c r="C48" s="52">
        <f>SUM(C49:C50)</f>
        <v>0</v>
      </c>
      <c r="D48" s="52">
        <f>SUM(D49:D50)</f>
        <v>0</v>
      </c>
      <c r="E48" s="51">
        <f>C48+D48*'1.Params_8.Sensitivity'!$D$15</f>
        <v>0</v>
      </c>
    </row>
    <row r="49" spans="2:32" ht="18.5" thickBot="1" x14ac:dyDescent="0.6">
      <c r="B49" s="4" t="s">
        <v>9</v>
      </c>
      <c r="C49" s="352">
        <v>0</v>
      </c>
      <c r="D49" s="352">
        <v>0</v>
      </c>
      <c r="E49" s="51">
        <f>C49+D49*'1.Params_8.Sensitivity'!$D$15</f>
        <v>0</v>
      </c>
    </row>
    <row r="50" spans="2:32" ht="18.5" thickBot="1" x14ac:dyDescent="0.6">
      <c r="B50" s="4" t="s">
        <v>10</v>
      </c>
      <c r="C50" s="352">
        <v>0</v>
      </c>
      <c r="D50" s="352">
        <v>0</v>
      </c>
      <c r="E50" s="51">
        <f>C50+D50*'1.Params_8.Sensitivity'!$D$15</f>
        <v>0</v>
      </c>
    </row>
    <row r="51" spans="2:32" ht="18.5" thickBot="1" x14ac:dyDescent="0.6">
      <c r="B51" s="4" t="s">
        <v>13</v>
      </c>
      <c r="C51" s="352">
        <v>0</v>
      </c>
      <c r="D51" s="352">
        <v>0</v>
      </c>
      <c r="E51" s="51">
        <f>C51+D51*'1.Params_8.Sensitivity'!$D$15</f>
        <v>0</v>
      </c>
    </row>
    <row r="52" spans="2:32" ht="18.5" thickBot="1" x14ac:dyDescent="0.6">
      <c r="B52" s="4" t="s">
        <v>8</v>
      </c>
      <c r="C52" s="352">
        <v>0</v>
      </c>
      <c r="D52" s="352">
        <v>0</v>
      </c>
      <c r="E52" s="51">
        <f>C52+D52*'1.Params_8.Sensitivity'!$D$15</f>
        <v>0</v>
      </c>
    </row>
    <row r="53" spans="2:32" x14ac:dyDescent="0.55000000000000004">
      <c r="B53" s="15" t="s">
        <v>139</v>
      </c>
      <c r="C53" s="50">
        <f>SUM(C46:C48,C51:C52)</f>
        <v>98.919599999999988</v>
      </c>
      <c r="D53" s="50">
        <f>SUM(D46:D48,D51:D52)</f>
        <v>0</v>
      </c>
      <c r="E53" s="125">
        <f>SUM(E46:E48,E51:E52)</f>
        <v>98.919599999999988</v>
      </c>
      <c r="F53" s="136" t="s">
        <v>103</v>
      </c>
    </row>
    <row r="54" spans="2:32" x14ac:dyDescent="0.55000000000000004">
      <c r="C54" s="1"/>
      <c r="D54" s="1"/>
      <c r="E54" s="1"/>
    </row>
    <row r="56" spans="2:32" ht="18.5" thickBot="1" x14ac:dyDescent="0.6">
      <c r="B56" s="9"/>
      <c r="C56" s="14">
        <v>1</v>
      </c>
      <c r="D56" s="12">
        <v>2</v>
      </c>
      <c r="E56" s="14">
        <v>3</v>
      </c>
      <c r="F56" s="12">
        <v>4</v>
      </c>
      <c r="G56" s="14">
        <v>5</v>
      </c>
      <c r="H56" s="82">
        <v>6</v>
      </c>
      <c r="I56" s="83">
        <v>7</v>
      </c>
      <c r="J56" s="82">
        <v>8</v>
      </c>
      <c r="K56" s="83">
        <v>9</v>
      </c>
      <c r="L56" s="82">
        <v>10</v>
      </c>
      <c r="M56" s="83">
        <v>11</v>
      </c>
      <c r="N56" s="82">
        <v>12</v>
      </c>
      <c r="O56" s="83">
        <v>13</v>
      </c>
      <c r="P56" s="82">
        <v>14</v>
      </c>
      <c r="Q56" s="83">
        <v>15</v>
      </c>
      <c r="R56" s="82">
        <v>16</v>
      </c>
      <c r="S56" s="83">
        <v>17</v>
      </c>
      <c r="T56" s="82">
        <v>18</v>
      </c>
      <c r="U56" s="83">
        <v>19</v>
      </c>
      <c r="V56" s="82">
        <v>20</v>
      </c>
      <c r="W56" s="83">
        <v>21</v>
      </c>
      <c r="X56" s="82">
        <v>22</v>
      </c>
      <c r="Y56" s="83">
        <v>23</v>
      </c>
      <c r="Z56" s="82">
        <v>24</v>
      </c>
      <c r="AA56" s="83">
        <v>25</v>
      </c>
      <c r="AB56" s="82">
        <v>26</v>
      </c>
      <c r="AC56" s="83">
        <v>27</v>
      </c>
      <c r="AD56" s="82">
        <v>28</v>
      </c>
      <c r="AE56" s="83">
        <v>29</v>
      </c>
      <c r="AF56" s="82">
        <v>30</v>
      </c>
    </row>
    <row r="57" spans="2:32" ht="18.5" thickBot="1" x14ac:dyDescent="0.6">
      <c r="B57" s="17" t="s">
        <v>293</v>
      </c>
      <c r="C57" s="357">
        <v>0</v>
      </c>
      <c r="D57" s="357">
        <v>0</v>
      </c>
      <c r="E57" s="357">
        <v>0</v>
      </c>
      <c r="F57" s="357">
        <v>0</v>
      </c>
      <c r="G57" s="357">
        <v>0</v>
      </c>
      <c r="H57" s="357">
        <f>'1.Params_8.Sensitivity'!I8</f>
        <v>1</v>
      </c>
      <c r="I57" s="357">
        <f>MIN(H57*(1+'1.Params_8.Sensitivity'!$I$6),1)</f>
        <v>1</v>
      </c>
      <c r="J57" s="357">
        <f>MIN(I57*(1+'1.Params_8.Sensitivity'!$I$6),1)</f>
        <v>1</v>
      </c>
      <c r="K57" s="357">
        <f>MIN(J57*(1+'1.Params_8.Sensitivity'!$I$6),1)</f>
        <v>1</v>
      </c>
      <c r="L57" s="357">
        <f>MIN(K57*(1+'1.Params_8.Sensitivity'!$I$6),1)</f>
        <v>1</v>
      </c>
      <c r="M57" s="357">
        <f>MIN(L57*(1+'1.Params_8.Sensitivity'!$I$6),1)</f>
        <v>1</v>
      </c>
      <c r="N57" s="357">
        <f>MIN(M57*(1+'1.Params_8.Sensitivity'!$I$6),1)</f>
        <v>1</v>
      </c>
      <c r="O57" s="357">
        <f>MIN(N57*(1+'1.Params_8.Sensitivity'!$I$6),1)</f>
        <v>1</v>
      </c>
      <c r="P57" s="357">
        <f>MIN(O57*(1+'1.Params_8.Sensitivity'!$I$6),1)</f>
        <v>1</v>
      </c>
      <c r="Q57" s="357">
        <f>MIN(P57*(1+'1.Params_8.Sensitivity'!$I$6),1)</f>
        <v>1</v>
      </c>
      <c r="R57" s="357">
        <f>MIN(Q57*(1+'1.Params_8.Sensitivity'!$I$6),1)</f>
        <v>1</v>
      </c>
      <c r="S57" s="357">
        <f>MIN(R57*(1+'1.Params_8.Sensitivity'!$I$6),1)</f>
        <v>1</v>
      </c>
      <c r="T57" s="357">
        <f>MIN(S57*(1+'1.Params_8.Sensitivity'!$I$6),1)</f>
        <v>1</v>
      </c>
      <c r="U57" s="357">
        <f>MIN(T57*(1+'1.Params_8.Sensitivity'!$I$6),1)</f>
        <v>1</v>
      </c>
      <c r="V57" s="357">
        <f>MIN(U57*(1+'1.Params_8.Sensitivity'!$I$6),1)</f>
        <v>1</v>
      </c>
      <c r="W57" s="357">
        <f>MIN(V57*(1+'1.Params_8.Sensitivity'!$I$6),1)</f>
        <v>1</v>
      </c>
      <c r="X57" s="357">
        <f>MIN(W57*(1+'1.Params_8.Sensitivity'!$I$6),1)</f>
        <v>1</v>
      </c>
      <c r="Y57" s="357">
        <f>MIN(X57*(1+'1.Params_8.Sensitivity'!$I$6),1)</f>
        <v>1</v>
      </c>
      <c r="Z57" s="357">
        <f>MIN(Y57*(1+'1.Params_8.Sensitivity'!$I$6),1)</f>
        <v>1</v>
      </c>
      <c r="AA57" s="357">
        <f>MIN(Z57*(1+'1.Params_8.Sensitivity'!$I$6),1)</f>
        <v>1</v>
      </c>
      <c r="AB57" s="357">
        <f>MIN(AA57*(1+'1.Params_8.Sensitivity'!$I$6),1)</f>
        <v>1</v>
      </c>
      <c r="AC57" s="357">
        <f>MIN(AB57*(1+'1.Params_8.Sensitivity'!$I$6),1)</f>
        <v>1</v>
      </c>
      <c r="AD57" s="357">
        <f>MIN(AC57*(1+'1.Params_8.Sensitivity'!$I$6),1)</f>
        <v>1</v>
      </c>
      <c r="AE57" s="357">
        <f>MIN(AD57*(1+'1.Params_8.Sensitivity'!$I$6),1)</f>
        <v>1</v>
      </c>
      <c r="AF57" s="357">
        <f>MIN(AE57*(1+'1.Params_8.Sensitivity'!$I$6),1)</f>
        <v>1</v>
      </c>
    </row>
    <row r="58" spans="2:32" x14ac:dyDescent="0.55000000000000004">
      <c r="B58" s="63" t="s">
        <v>140</v>
      </c>
      <c r="C58" s="67">
        <f t="shared" ref="C58:F58" si="4">$E$53*C$57</f>
        <v>0</v>
      </c>
      <c r="D58" s="67">
        <f t="shared" si="4"/>
        <v>0</v>
      </c>
      <c r="E58" s="67">
        <f t="shared" si="4"/>
        <v>0</v>
      </c>
      <c r="F58" s="67">
        <f t="shared" si="4"/>
        <v>0</v>
      </c>
      <c r="G58" s="67">
        <f>$E$53*G$57</f>
        <v>0</v>
      </c>
      <c r="H58" s="67">
        <f>$E$53*H$57</f>
        <v>98.919599999999988</v>
      </c>
      <c r="I58" s="67">
        <f t="shared" ref="I58:AF58" si="5">$E$53*I$57</f>
        <v>98.919599999999988</v>
      </c>
      <c r="J58" s="67">
        <f t="shared" si="5"/>
        <v>98.919599999999988</v>
      </c>
      <c r="K58" s="67">
        <f t="shared" si="5"/>
        <v>98.919599999999988</v>
      </c>
      <c r="L58" s="67">
        <f t="shared" si="5"/>
        <v>98.919599999999988</v>
      </c>
      <c r="M58" s="67">
        <f t="shared" si="5"/>
        <v>98.919599999999988</v>
      </c>
      <c r="N58" s="67">
        <f t="shared" si="5"/>
        <v>98.919599999999988</v>
      </c>
      <c r="O58" s="67">
        <f t="shared" si="5"/>
        <v>98.919599999999988</v>
      </c>
      <c r="P58" s="67">
        <f t="shared" si="5"/>
        <v>98.919599999999988</v>
      </c>
      <c r="Q58" s="67">
        <f t="shared" si="5"/>
        <v>98.919599999999988</v>
      </c>
      <c r="R58" s="67">
        <f t="shared" si="5"/>
        <v>98.919599999999988</v>
      </c>
      <c r="S58" s="67">
        <f t="shared" si="5"/>
        <v>98.919599999999988</v>
      </c>
      <c r="T58" s="67">
        <f t="shared" si="5"/>
        <v>98.919599999999988</v>
      </c>
      <c r="U58" s="67">
        <f t="shared" si="5"/>
        <v>98.919599999999988</v>
      </c>
      <c r="V58" s="67">
        <f t="shared" si="5"/>
        <v>98.919599999999988</v>
      </c>
      <c r="W58" s="67">
        <f t="shared" si="5"/>
        <v>98.919599999999988</v>
      </c>
      <c r="X58" s="67">
        <f t="shared" si="5"/>
        <v>98.919599999999988</v>
      </c>
      <c r="Y58" s="67">
        <f t="shared" si="5"/>
        <v>98.919599999999988</v>
      </c>
      <c r="Z58" s="67">
        <f t="shared" si="5"/>
        <v>98.919599999999988</v>
      </c>
      <c r="AA58" s="67">
        <f t="shared" si="5"/>
        <v>98.919599999999988</v>
      </c>
      <c r="AB58" s="67">
        <f t="shared" si="5"/>
        <v>98.919599999999988</v>
      </c>
      <c r="AC58" s="67">
        <f t="shared" si="5"/>
        <v>98.919599999999988</v>
      </c>
      <c r="AD58" s="67">
        <f t="shared" si="5"/>
        <v>98.919599999999988</v>
      </c>
      <c r="AE58" s="67">
        <f t="shared" si="5"/>
        <v>98.919599999999988</v>
      </c>
      <c r="AF58" s="67">
        <f t="shared" si="5"/>
        <v>98.919599999999988</v>
      </c>
    </row>
  </sheetData>
  <sheetProtection algorithmName="SHA-512" hashValue="SVCDxKFW1fd+Jg8Q9KggNbneR2qwgloC+gM273O8LJjH2E7ZLGC3NuZeGlFYkgkCgMd9WuuT807a3r/rS8ugZg==" saltValue="5HCeLuY7CiG49rrdJup4DQ==" spinCount="100000" sheet="1" objects="1" scenarios="1" autoFilter="0"/>
  <mergeCells count="6">
    <mergeCell ref="I18:N23"/>
    <mergeCell ref="C29:G29"/>
    <mergeCell ref="C2:E2"/>
    <mergeCell ref="B2:B3"/>
    <mergeCell ref="F2:F3"/>
    <mergeCell ref="G2:G3"/>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0B78-9887-4D51-9A88-810CB8B753CA}">
  <sheetPr codeName="Sheet5">
    <tabColor theme="4" tint="0.59999389629810485"/>
  </sheetPr>
  <dimension ref="A1:AF20"/>
  <sheetViews>
    <sheetView zoomScale="80" zoomScaleNormal="8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70.83203125" customWidth="1"/>
    <col min="3" max="5" width="8.6640625" customWidth="1"/>
    <col min="8" max="32" width="9.75" bestFit="1" customWidth="1"/>
  </cols>
  <sheetData>
    <row r="1" spans="1:8" s="3" customFormat="1" ht="20" x14ac:dyDescent="0.6">
      <c r="A1" s="5" t="str">
        <f>"Financial Benefits ("&amp;MID('0.Contents'!A1,20,(LEN('0.Contents'!A1)-20))&amp;")"</f>
        <v>Financial Benefits (Rural Infrastructure Development)</v>
      </c>
    </row>
    <row r="2" spans="1:8" x14ac:dyDescent="0.55000000000000004">
      <c r="B2" s="7" t="s">
        <v>11</v>
      </c>
      <c r="C2" s="9"/>
    </row>
    <row r="3" spans="1:8" x14ac:dyDescent="0.55000000000000004">
      <c r="B3" s="16" t="s">
        <v>71</v>
      </c>
    </row>
    <row r="4" spans="1:8" x14ac:dyDescent="0.55000000000000004">
      <c r="B4" s="16" t="str">
        <f>_xlfn.CONCAT("    ", "n/a")</f>
        <v xml:space="preserve">    n/a</v>
      </c>
      <c r="C4" s="54">
        <v>0</v>
      </c>
    </row>
    <row r="5" spans="1:8" x14ac:dyDescent="0.55000000000000004">
      <c r="B5" s="16" t="str">
        <f>_xlfn.CONCAT("    ", "n/a")</f>
        <v xml:space="preserve">    n/a</v>
      </c>
      <c r="C5" s="87">
        <v>0</v>
      </c>
    </row>
    <row r="6" spans="1:8" x14ac:dyDescent="0.55000000000000004">
      <c r="B6" s="16" t="s">
        <v>72</v>
      </c>
      <c r="C6" s="87"/>
    </row>
    <row r="7" spans="1:8" x14ac:dyDescent="0.55000000000000004">
      <c r="B7" s="16" t="str">
        <f>B4</f>
        <v xml:space="preserve">    n/a</v>
      </c>
      <c r="C7" s="38">
        <v>0</v>
      </c>
    </row>
    <row r="8" spans="1:8" x14ac:dyDescent="0.55000000000000004">
      <c r="B8" s="16" t="str">
        <f>B5</f>
        <v xml:space="preserve">    n/a</v>
      </c>
      <c r="C8" s="87">
        <v>0</v>
      </c>
    </row>
    <row r="9" spans="1:8" x14ac:dyDescent="0.55000000000000004">
      <c r="B9" s="16" t="s">
        <v>73</v>
      </c>
      <c r="C9" s="87"/>
    </row>
    <row r="10" spans="1:8" x14ac:dyDescent="0.55000000000000004">
      <c r="B10" s="16" t="str">
        <f>B4</f>
        <v xml:space="preserve">    n/a</v>
      </c>
      <c r="C10" s="38">
        <v>0</v>
      </c>
    </row>
    <row r="11" spans="1:8" x14ac:dyDescent="0.55000000000000004">
      <c r="B11" s="16" t="str">
        <f>B5</f>
        <v xml:space="preserve">    n/a</v>
      </c>
      <c r="C11" s="87">
        <v>0</v>
      </c>
    </row>
    <row r="12" spans="1:8" x14ac:dyDescent="0.55000000000000004">
      <c r="B12" s="15" t="s">
        <v>34</v>
      </c>
      <c r="C12" s="125">
        <f>(C4*C5+C7*C8+C10*C11)*1000/10^5</f>
        <v>0</v>
      </c>
      <c r="D12" s="136" t="s">
        <v>103</v>
      </c>
    </row>
    <row r="14" spans="1:8" x14ac:dyDescent="0.55000000000000004">
      <c r="B14" s="9"/>
      <c r="C14" s="64">
        <v>1</v>
      </c>
      <c r="D14" s="7">
        <v>2</v>
      </c>
      <c r="E14" s="64">
        <v>3</v>
      </c>
      <c r="F14" s="7">
        <v>4</v>
      </c>
      <c r="G14" s="64">
        <v>5</v>
      </c>
      <c r="H14" s="68"/>
    </row>
    <row r="15" spans="1:8" x14ac:dyDescent="0.55000000000000004">
      <c r="B15" s="17" t="s">
        <v>294</v>
      </c>
      <c r="C15" s="66">
        <f>'2b.FCosts'!C57</f>
        <v>0</v>
      </c>
      <c r="D15" s="66">
        <f>'2b.FCosts'!D57</f>
        <v>0</v>
      </c>
      <c r="E15" s="66">
        <f>'2b.FCosts'!E57</f>
        <v>0</v>
      </c>
      <c r="F15" s="66">
        <f>'2b.FCosts'!F57</f>
        <v>0</v>
      </c>
      <c r="G15" s="66">
        <f>'2b.FCosts'!G57</f>
        <v>0</v>
      </c>
      <c r="H15" s="66"/>
    </row>
    <row r="16" spans="1:8" x14ac:dyDescent="0.55000000000000004">
      <c r="B16" s="63" t="s">
        <v>36</v>
      </c>
      <c r="C16" s="65">
        <f>$C$12*'3.FBenefits'!C$15</f>
        <v>0</v>
      </c>
      <c r="D16" s="65">
        <f>$C$12*'3.FBenefits'!D$15</f>
        <v>0</v>
      </c>
      <c r="E16" s="65">
        <f>$C$12*'3.FBenefits'!E$15</f>
        <v>0</v>
      </c>
      <c r="F16" s="65">
        <f>$C$12*'3.FBenefits'!F$15</f>
        <v>0</v>
      </c>
      <c r="G16" s="65">
        <f>$C$12*'3.FBenefits'!G$15</f>
        <v>0</v>
      </c>
      <c r="H16" s="69"/>
    </row>
    <row r="18" spans="2:32" x14ac:dyDescent="0.55000000000000004">
      <c r="B18" s="17"/>
      <c r="C18" s="14">
        <v>1</v>
      </c>
      <c r="D18" s="12">
        <v>2</v>
      </c>
      <c r="E18" s="14">
        <v>3</v>
      </c>
      <c r="F18" s="12">
        <v>4</v>
      </c>
      <c r="G18" s="14">
        <v>5</v>
      </c>
      <c r="H18" s="82">
        <v>6</v>
      </c>
      <c r="I18" s="83">
        <v>7</v>
      </c>
      <c r="J18" s="82">
        <v>8</v>
      </c>
      <c r="K18" s="83">
        <v>9</v>
      </c>
      <c r="L18" s="82">
        <v>10</v>
      </c>
      <c r="M18" s="83">
        <v>11</v>
      </c>
      <c r="N18" s="82">
        <v>12</v>
      </c>
      <c r="O18" s="83">
        <v>13</v>
      </c>
      <c r="P18" s="82">
        <v>14</v>
      </c>
      <c r="Q18" s="83">
        <v>15</v>
      </c>
      <c r="R18" s="82">
        <v>16</v>
      </c>
      <c r="S18" s="83">
        <v>17</v>
      </c>
      <c r="T18" s="82">
        <v>18</v>
      </c>
      <c r="U18" s="83">
        <v>19</v>
      </c>
      <c r="V18" s="82">
        <v>20</v>
      </c>
      <c r="W18" s="83">
        <v>21</v>
      </c>
      <c r="X18" s="82">
        <v>22</v>
      </c>
      <c r="Y18" s="83">
        <v>23</v>
      </c>
      <c r="Z18" s="82">
        <v>24</v>
      </c>
      <c r="AA18" s="83">
        <v>25</v>
      </c>
      <c r="AB18" s="82">
        <v>26</v>
      </c>
      <c r="AC18" s="83">
        <v>27</v>
      </c>
      <c r="AD18" s="82">
        <v>28</v>
      </c>
      <c r="AE18" s="83">
        <v>29</v>
      </c>
      <c r="AF18" s="82">
        <v>30</v>
      </c>
    </row>
    <row r="19" spans="2:32" x14ac:dyDescent="0.55000000000000004">
      <c r="B19" s="17" t="s">
        <v>295</v>
      </c>
      <c r="C19" s="73"/>
      <c r="D19" s="73"/>
      <c r="E19" s="73"/>
      <c r="F19" s="73"/>
      <c r="G19" s="73"/>
      <c r="H19" s="73">
        <f>'2b.FCosts'!H$57</f>
        <v>1</v>
      </c>
      <c r="I19" s="73">
        <f>'2b.FCosts'!I$57</f>
        <v>1</v>
      </c>
      <c r="J19" s="73">
        <f>'2b.FCosts'!J$57</f>
        <v>1</v>
      </c>
      <c r="K19" s="73">
        <f>'2b.FCosts'!K$57</f>
        <v>1</v>
      </c>
      <c r="L19" s="73">
        <f>'2b.FCosts'!L$57</f>
        <v>1</v>
      </c>
      <c r="M19" s="73">
        <f>'2b.FCosts'!M$57</f>
        <v>1</v>
      </c>
      <c r="N19" s="73">
        <f>'2b.FCosts'!N$57</f>
        <v>1</v>
      </c>
      <c r="O19" s="73">
        <f>'2b.FCosts'!O$57</f>
        <v>1</v>
      </c>
      <c r="P19" s="73">
        <f>'2b.FCosts'!P$57</f>
        <v>1</v>
      </c>
      <c r="Q19" s="73">
        <f>'2b.FCosts'!Q$57</f>
        <v>1</v>
      </c>
      <c r="R19" s="73">
        <f>'2b.FCosts'!R$57</f>
        <v>1</v>
      </c>
      <c r="S19" s="73">
        <f>'2b.FCosts'!S$57</f>
        <v>1</v>
      </c>
      <c r="T19" s="73">
        <f>'2b.FCosts'!T$57</f>
        <v>1</v>
      </c>
      <c r="U19" s="73">
        <f>'2b.FCosts'!U$57</f>
        <v>1</v>
      </c>
      <c r="V19" s="73">
        <f>'2b.FCosts'!V$57</f>
        <v>1</v>
      </c>
      <c r="W19" s="73">
        <f>'2b.FCosts'!W$57</f>
        <v>1</v>
      </c>
      <c r="X19" s="73">
        <f>'2b.FCosts'!X$57</f>
        <v>1</v>
      </c>
      <c r="Y19" s="73">
        <f>'2b.FCosts'!Y$57</f>
        <v>1</v>
      </c>
      <c r="Z19" s="73">
        <f>'2b.FCosts'!Z$57</f>
        <v>1</v>
      </c>
      <c r="AA19" s="73">
        <f>'2b.FCosts'!AA$57</f>
        <v>1</v>
      </c>
      <c r="AB19" s="73">
        <f>'2b.FCosts'!AB$57</f>
        <v>1</v>
      </c>
      <c r="AC19" s="73">
        <f>'2b.FCosts'!AC$57</f>
        <v>1</v>
      </c>
      <c r="AD19" s="73">
        <f>'2b.FCosts'!AD$57</f>
        <v>1</v>
      </c>
      <c r="AE19" s="73">
        <f>'2b.FCosts'!AE$57</f>
        <v>1</v>
      </c>
      <c r="AF19" s="73">
        <f>'2b.FCosts'!AF$57</f>
        <v>1</v>
      </c>
    </row>
    <row r="20" spans="2:32" x14ac:dyDescent="0.55000000000000004">
      <c r="B20" s="63" t="s">
        <v>133</v>
      </c>
      <c r="C20" s="267" t="s">
        <v>253</v>
      </c>
      <c r="D20" s="267" t="s">
        <v>253</v>
      </c>
      <c r="E20" s="267" t="s">
        <v>253</v>
      </c>
      <c r="F20" s="267" t="s">
        <v>253</v>
      </c>
      <c r="G20" s="267" t="s">
        <v>253</v>
      </c>
      <c r="H20" s="67">
        <f>$C$12*H$19</f>
        <v>0</v>
      </c>
      <c r="I20" s="67">
        <f t="shared" ref="I20:AF20" si="0">$C$12*I$19</f>
        <v>0</v>
      </c>
      <c r="J20" s="67">
        <f t="shared" si="0"/>
        <v>0</v>
      </c>
      <c r="K20" s="67">
        <f t="shared" si="0"/>
        <v>0</v>
      </c>
      <c r="L20" s="67">
        <f t="shared" si="0"/>
        <v>0</v>
      </c>
      <c r="M20" s="67">
        <f t="shared" si="0"/>
        <v>0</v>
      </c>
      <c r="N20" s="67">
        <f t="shared" si="0"/>
        <v>0</v>
      </c>
      <c r="O20" s="67">
        <f t="shared" si="0"/>
        <v>0</v>
      </c>
      <c r="P20" s="67">
        <f t="shared" si="0"/>
        <v>0</v>
      </c>
      <c r="Q20" s="67">
        <f t="shared" si="0"/>
        <v>0</v>
      </c>
      <c r="R20" s="67">
        <f t="shared" si="0"/>
        <v>0</v>
      </c>
      <c r="S20" s="67">
        <f t="shared" si="0"/>
        <v>0</v>
      </c>
      <c r="T20" s="67">
        <f t="shared" si="0"/>
        <v>0</v>
      </c>
      <c r="U20" s="67">
        <f t="shared" si="0"/>
        <v>0</v>
      </c>
      <c r="V20" s="67">
        <f t="shared" si="0"/>
        <v>0</v>
      </c>
      <c r="W20" s="67">
        <f t="shared" si="0"/>
        <v>0</v>
      </c>
      <c r="X20" s="67">
        <f t="shared" si="0"/>
        <v>0</v>
      </c>
      <c r="Y20" s="67">
        <f t="shared" si="0"/>
        <v>0</v>
      </c>
      <c r="Z20" s="67">
        <f t="shared" si="0"/>
        <v>0</v>
      </c>
      <c r="AA20" s="67">
        <f t="shared" si="0"/>
        <v>0</v>
      </c>
      <c r="AB20" s="67">
        <f t="shared" si="0"/>
        <v>0</v>
      </c>
      <c r="AC20" s="67">
        <f t="shared" si="0"/>
        <v>0</v>
      </c>
      <c r="AD20" s="67">
        <f t="shared" si="0"/>
        <v>0</v>
      </c>
      <c r="AE20" s="67">
        <f t="shared" si="0"/>
        <v>0</v>
      </c>
      <c r="AF20" s="67">
        <f t="shared" si="0"/>
        <v>0</v>
      </c>
    </row>
  </sheetData>
  <sheetProtection algorithmName="SHA-512" hashValue="0cOET69V5fZgGoHt4S7E6mvWLb+x9NQvHSG2/ZjIOAehMzzqEEWA5cOspFPExxYPdUJHGDoZ4AR5BQZtbFCclA==" saltValue="j7aZ5/ePMtoUNB5dbotRgA==" spinCount="100000" sheet="1" objects="1" scenarios="1" autoFilter="0"/>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AFBF7-0FCA-4A0B-B1D1-039C48F07C8B}">
  <sheetPr codeName="Sheet6">
    <tabColor theme="4" tint="0.59999389629810485"/>
  </sheetPr>
  <dimension ref="A1:AH33"/>
  <sheetViews>
    <sheetView zoomScale="70" zoomScaleNormal="7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46.58203125" customWidth="1"/>
    <col min="3" max="3" width="11.58203125" customWidth="1"/>
    <col min="4" max="4" width="8.58203125" customWidth="1"/>
    <col min="5" max="5" width="9.6640625" bestFit="1" customWidth="1"/>
    <col min="6" max="8" width="8.58203125" customWidth="1"/>
    <col min="9" max="33" width="10.5" bestFit="1" customWidth="1"/>
    <col min="34" max="34" width="8.58203125" customWidth="1"/>
  </cols>
  <sheetData>
    <row r="1" spans="1:34" s="3" customFormat="1" ht="20" x14ac:dyDescent="0.6">
      <c r="A1" s="5" t="str">
        <f>"Cash Flows of Financial Costs and Benefits ("&amp;MID('0.Contents'!A1,20,(LEN('0.Contents'!A1)-20))&amp;")----Horizontal format"</f>
        <v>Cash Flows of Financial Costs and Benefits (Rural Infrastructure Development)----Horizontal format</v>
      </c>
    </row>
    <row r="2" spans="1:34" ht="20" x14ac:dyDescent="0.6">
      <c r="A2" s="6"/>
      <c r="B2" s="400" t="s">
        <v>134</v>
      </c>
      <c r="C2" s="402" t="s">
        <v>24</v>
      </c>
      <c r="D2" s="405" t="s">
        <v>0</v>
      </c>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0" t="s">
        <v>30</v>
      </c>
    </row>
    <row r="3" spans="1:34" ht="20" x14ac:dyDescent="0.6">
      <c r="A3" s="6"/>
      <c r="B3" s="401"/>
      <c r="C3" s="404"/>
      <c r="D3" s="11">
        <v>1</v>
      </c>
      <c r="E3" s="11">
        <v>2</v>
      </c>
      <c r="F3" s="11">
        <v>3</v>
      </c>
      <c r="G3" s="11">
        <v>4</v>
      </c>
      <c r="H3" s="11">
        <v>5</v>
      </c>
      <c r="I3" s="84">
        <v>6</v>
      </c>
      <c r="J3" s="84">
        <v>7</v>
      </c>
      <c r="K3" s="84">
        <v>8</v>
      </c>
      <c r="L3" s="84">
        <v>9</v>
      </c>
      <c r="M3" s="84">
        <v>10</v>
      </c>
      <c r="N3" s="84">
        <v>11</v>
      </c>
      <c r="O3" s="84">
        <v>12</v>
      </c>
      <c r="P3" s="84">
        <v>13</v>
      </c>
      <c r="Q3" s="84">
        <v>14</v>
      </c>
      <c r="R3" s="84">
        <v>15</v>
      </c>
      <c r="S3" s="84">
        <v>16</v>
      </c>
      <c r="T3" s="84">
        <v>17</v>
      </c>
      <c r="U3" s="84">
        <v>18</v>
      </c>
      <c r="V3" s="84">
        <v>19</v>
      </c>
      <c r="W3" s="84">
        <v>20</v>
      </c>
      <c r="X3" s="84">
        <v>21</v>
      </c>
      <c r="Y3" s="84">
        <v>22</v>
      </c>
      <c r="Z3" s="84">
        <v>23</v>
      </c>
      <c r="AA3" s="84">
        <v>24</v>
      </c>
      <c r="AB3" s="84">
        <v>25</v>
      </c>
      <c r="AC3" s="84">
        <v>26</v>
      </c>
      <c r="AD3" s="84">
        <v>27</v>
      </c>
      <c r="AE3" s="84">
        <v>28</v>
      </c>
      <c r="AF3" s="84">
        <v>29</v>
      </c>
      <c r="AG3" s="84">
        <v>30</v>
      </c>
      <c r="AH3" s="401"/>
    </row>
    <row r="4" spans="1:34" x14ac:dyDescent="0.55000000000000004">
      <c r="B4" s="18" t="s">
        <v>1</v>
      </c>
      <c r="C4" s="39">
        <f>SUM(D4:AG4)+C7</f>
        <v>7135.5230415434926</v>
      </c>
      <c r="D4" s="40">
        <f>SUM(D5:D6)*'1.Params_8.Sensitivity'!$D$49</f>
        <v>197.83919999999995</v>
      </c>
      <c r="E4" s="40">
        <f>SUM(E5:E6)*'1.Params_8.Sensitivity'!$D$49</f>
        <v>494.5979999999999</v>
      </c>
      <c r="F4" s="40">
        <f>SUM(F5:F6)*'1.Params_8.Sensitivity'!$D$49</f>
        <v>1483.7939999999996</v>
      </c>
      <c r="G4" s="40">
        <f>SUM(G5:G6)*'1.Params_8.Sensitivity'!$D$49</f>
        <v>2225.6909999999998</v>
      </c>
      <c r="H4" s="40">
        <f>SUM(H5:H6)*'1.Params_8.Sensitivity'!$D$49</f>
        <v>544.05779999999982</v>
      </c>
      <c r="I4" s="40">
        <f>SUM(I5:I6)*'1.Params_8.Sensitivity'!$D$49</f>
        <v>98.919599999999988</v>
      </c>
      <c r="J4" s="40">
        <f>SUM(J5:J6)*'1.Params_8.Sensitivity'!$D$49</f>
        <v>98.919599999999988</v>
      </c>
      <c r="K4" s="40">
        <f>SUM(K5:K6)*'1.Params_8.Sensitivity'!$D$49</f>
        <v>98.919599999999988</v>
      </c>
      <c r="L4" s="40">
        <f>SUM(L5:L6)*'1.Params_8.Sensitivity'!$D$49</f>
        <v>98.919599999999988</v>
      </c>
      <c r="M4" s="40">
        <f>SUM(M5:M6)*'1.Params_8.Sensitivity'!$D$49</f>
        <v>98.919599999999988</v>
      </c>
      <c r="N4" s="40">
        <f>SUM(N5:N6)*'1.Params_8.Sensitivity'!$D$49</f>
        <v>98.919599999999988</v>
      </c>
      <c r="O4" s="40">
        <f>SUM(O5:O6)*'1.Params_8.Sensitivity'!$D$49</f>
        <v>98.919599999999988</v>
      </c>
      <c r="P4" s="40">
        <f>SUM(P5:P6)*'1.Params_8.Sensitivity'!$D$49</f>
        <v>98.919599999999988</v>
      </c>
      <c r="Q4" s="40">
        <f>SUM(Q5:Q6)*'1.Params_8.Sensitivity'!$D$49</f>
        <v>98.919599999999988</v>
      </c>
      <c r="R4" s="40">
        <f>SUM(R5:R6)*'1.Params_8.Sensitivity'!$D$49</f>
        <v>98.919599999999988</v>
      </c>
      <c r="S4" s="40">
        <f>SUM(S5:S6)*'1.Params_8.Sensitivity'!$D$49</f>
        <v>98.919599999999988</v>
      </c>
      <c r="T4" s="40">
        <f>SUM(T5:T6)*'1.Params_8.Sensitivity'!$D$49</f>
        <v>98.919599999999988</v>
      </c>
      <c r="U4" s="40">
        <f>SUM(U5:U6)*'1.Params_8.Sensitivity'!$D$49</f>
        <v>98.919599999999988</v>
      </c>
      <c r="V4" s="40">
        <f>SUM(V5:V6)*'1.Params_8.Sensitivity'!$D$49</f>
        <v>98.919599999999988</v>
      </c>
      <c r="W4" s="40">
        <f>SUM(W5:W6)*'1.Params_8.Sensitivity'!$D$49</f>
        <v>98.919599999999988</v>
      </c>
      <c r="X4" s="40">
        <f>SUM(X5:X6)*'1.Params_8.Sensitivity'!$D$49</f>
        <v>98.919599999999988</v>
      </c>
      <c r="Y4" s="40">
        <f>SUM(Y5:Y6)*'1.Params_8.Sensitivity'!$D$49</f>
        <v>98.919599999999988</v>
      </c>
      <c r="Z4" s="40">
        <f>SUM(Z5:Z6)*'1.Params_8.Sensitivity'!$D$49</f>
        <v>98.919599999999988</v>
      </c>
      <c r="AA4" s="40">
        <f>SUM(AA5:AA6)*'1.Params_8.Sensitivity'!$D$49</f>
        <v>98.919599999999988</v>
      </c>
      <c r="AB4" s="40">
        <f>SUM(AB5:AB6)*'1.Params_8.Sensitivity'!$D$49</f>
        <v>98.919599999999988</v>
      </c>
      <c r="AC4" s="40">
        <f>SUM(AC5:AC6)*'1.Params_8.Sensitivity'!$D$49</f>
        <v>98.919599999999988</v>
      </c>
      <c r="AD4" s="40">
        <f>SUM(AD5:AD6)*'1.Params_8.Sensitivity'!$D$49</f>
        <v>98.919599999999988</v>
      </c>
      <c r="AE4" s="40">
        <f>SUM(AE5:AE6)*'1.Params_8.Sensitivity'!$D$49</f>
        <v>98.919599999999988</v>
      </c>
      <c r="AF4" s="40">
        <f>SUM(AF5:AF6)*'1.Params_8.Sensitivity'!$D$49</f>
        <v>98.919599999999988</v>
      </c>
      <c r="AG4" s="40">
        <f>SUM(AG5:AG6)*'1.Params_8.Sensitivity'!$D$49</f>
        <v>98.919599999999988</v>
      </c>
      <c r="AH4" s="40"/>
    </row>
    <row r="5" spans="1:34" x14ac:dyDescent="0.55000000000000004">
      <c r="B5" s="19" t="s">
        <v>225</v>
      </c>
      <c r="C5" s="38">
        <f t="shared" ref="C5:C6" si="0">SUM(D5:AG5)</f>
        <v>4945.9799999999987</v>
      </c>
      <c r="D5" s="200">
        <f>'2b.FCosts'!C28</f>
        <v>197.83919999999995</v>
      </c>
      <c r="E5" s="200">
        <f>'2b.FCosts'!D28</f>
        <v>494.5979999999999</v>
      </c>
      <c r="F5" s="200">
        <f>'2b.FCosts'!E28</f>
        <v>1483.7939999999996</v>
      </c>
      <c r="G5" s="200">
        <f>'2b.FCosts'!F28</f>
        <v>2225.6909999999998</v>
      </c>
      <c r="H5" s="200">
        <f>'2b.FCosts'!G28</f>
        <v>544.05779999999982</v>
      </c>
      <c r="I5" s="316" t="s">
        <v>31</v>
      </c>
      <c r="J5" s="316" t="s">
        <v>31</v>
      </c>
      <c r="K5" s="316" t="s">
        <v>31</v>
      </c>
      <c r="L5" s="316" t="s">
        <v>31</v>
      </c>
      <c r="M5" s="316" t="s">
        <v>31</v>
      </c>
      <c r="N5" s="316" t="s">
        <v>31</v>
      </c>
      <c r="O5" s="316" t="s">
        <v>31</v>
      </c>
      <c r="P5" s="316" t="s">
        <v>31</v>
      </c>
      <c r="Q5" s="316" t="s">
        <v>31</v>
      </c>
      <c r="R5" s="316" t="s">
        <v>31</v>
      </c>
      <c r="S5" s="316" t="s">
        <v>31</v>
      </c>
      <c r="T5" s="316" t="s">
        <v>31</v>
      </c>
      <c r="U5" s="316" t="s">
        <v>31</v>
      </c>
      <c r="V5" s="316" t="s">
        <v>31</v>
      </c>
      <c r="W5" s="316" t="s">
        <v>31</v>
      </c>
      <c r="X5" s="316" t="s">
        <v>31</v>
      </c>
      <c r="Y5" s="316" t="s">
        <v>31</v>
      </c>
      <c r="Z5" s="316" t="s">
        <v>31</v>
      </c>
      <c r="AA5" s="316" t="s">
        <v>31</v>
      </c>
      <c r="AB5" s="316" t="s">
        <v>31</v>
      </c>
      <c r="AC5" s="316" t="s">
        <v>31</v>
      </c>
      <c r="AD5" s="316" t="s">
        <v>31</v>
      </c>
      <c r="AE5" s="316" t="s">
        <v>31</v>
      </c>
      <c r="AF5" s="316" t="s">
        <v>31</v>
      </c>
      <c r="AG5" s="316" t="s">
        <v>31</v>
      </c>
      <c r="AH5" s="38"/>
    </row>
    <row r="6" spans="1:34" x14ac:dyDescent="0.55000000000000004">
      <c r="B6" s="19" t="s">
        <v>226</v>
      </c>
      <c r="C6" s="38">
        <f t="shared" si="0"/>
        <v>2472.9899999999998</v>
      </c>
      <c r="D6" s="239">
        <f>'2b.FCosts'!C58</f>
        <v>0</v>
      </c>
      <c r="E6" s="239">
        <f>'2b.FCosts'!D58</f>
        <v>0</v>
      </c>
      <c r="F6" s="239">
        <f>'2b.FCosts'!E58</f>
        <v>0</v>
      </c>
      <c r="G6" s="239">
        <f>'2b.FCosts'!F58</f>
        <v>0</v>
      </c>
      <c r="H6" s="239">
        <f>'2b.FCosts'!G58</f>
        <v>0</v>
      </c>
      <c r="I6" s="201">
        <f>'2b.FCosts'!H58</f>
        <v>98.919599999999988</v>
      </c>
      <c r="J6" s="201">
        <f>'2b.FCosts'!I58</f>
        <v>98.919599999999988</v>
      </c>
      <c r="K6" s="201">
        <f>'2b.FCosts'!J58</f>
        <v>98.919599999999988</v>
      </c>
      <c r="L6" s="201">
        <f>'2b.FCosts'!K58</f>
        <v>98.919599999999988</v>
      </c>
      <c r="M6" s="201">
        <f>'2b.FCosts'!L58</f>
        <v>98.919599999999988</v>
      </c>
      <c r="N6" s="201">
        <f>'2b.FCosts'!M58</f>
        <v>98.919599999999988</v>
      </c>
      <c r="O6" s="201">
        <f>'2b.FCosts'!N58</f>
        <v>98.919599999999988</v>
      </c>
      <c r="P6" s="201">
        <f>'2b.FCosts'!O58</f>
        <v>98.919599999999988</v>
      </c>
      <c r="Q6" s="201">
        <f>'2b.FCosts'!P58</f>
        <v>98.919599999999988</v>
      </c>
      <c r="R6" s="201">
        <f>'2b.FCosts'!Q58</f>
        <v>98.919599999999988</v>
      </c>
      <c r="S6" s="201">
        <f>'2b.FCosts'!R58</f>
        <v>98.919599999999988</v>
      </c>
      <c r="T6" s="201">
        <f>'2b.FCosts'!S58</f>
        <v>98.919599999999988</v>
      </c>
      <c r="U6" s="201">
        <f>'2b.FCosts'!T58</f>
        <v>98.919599999999988</v>
      </c>
      <c r="V6" s="201">
        <f>'2b.FCosts'!U58</f>
        <v>98.919599999999988</v>
      </c>
      <c r="W6" s="201">
        <f>'2b.FCosts'!V58</f>
        <v>98.919599999999988</v>
      </c>
      <c r="X6" s="201">
        <f>'2b.FCosts'!W58</f>
        <v>98.919599999999988</v>
      </c>
      <c r="Y6" s="201">
        <f>'2b.FCosts'!X58</f>
        <v>98.919599999999988</v>
      </c>
      <c r="Z6" s="201">
        <f>'2b.FCosts'!Y58</f>
        <v>98.919599999999988</v>
      </c>
      <c r="AA6" s="201">
        <f>'2b.FCosts'!Z58</f>
        <v>98.919599999999988</v>
      </c>
      <c r="AB6" s="201">
        <f>'2b.FCosts'!AA58</f>
        <v>98.919599999999988</v>
      </c>
      <c r="AC6" s="201">
        <f>'2b.FCosts'!AB58</f>
        <v>98.919599999999988</v>
      </c>
      <c r="AD6" s="201">
        <f>'2b.FCosts'!AC58</f>
        <v>98.919599999999988</v>
      </c>
      <c r="AE6" s="201">
        <f>'2b.FCosts'!AD58</f>
        <v>98.919599999999988</v>
      </c>
      <c r="AF6" s="201">
        <f>'2b.FCosts'!AE58</f>
        <v>98.919599999999988</v>
      </c>
      <c r="AG6" s="201">
        <f>'2b.FCosts'!AF58</f>
        <v>98.919599999999988</v>
      </c>
      <c r="AH6" s="38"/>
    </row>
    <row r="7" spans="1:34" x14ac:dyDescent="0.55000000000000004">
      <c r="B7" s="19" t="s">
        <v>227</v>
      </c>
      <c r="C7" s="38">
        <f>AH7</f>
        <v>-283.44695845651069</v>
      </c>
      <c r="D7" s="74" t="s">
        <v>31</v>
      </c>
      <c r="E7" s="74" t="s">
        <v>31</v>
      </c>
      <c r="F7" s="74" t="s">
        <v>31</v>
      </c>
      <c r="G7" s="74" t="s">
        <v>31</v>
      </c>
      <c r="H7" s="74" t="s">
        <v>31</v>
      </c>
      <c r="I7" s="74" t="s">
        <v>31</v>
      </c>
      <c r="J7" s="74" t="s">
        <v>31</v>
      </c>
      <c r="K7" s="74" t="s">
        <v>31</v>
      </c>
      <c r="L7" s="74" t="s">
        <v>31</v>
      </c>
      <c r="M7" s="74" t="s">
        <v>31</v>
      </c>
      <c r="N7" s="74" t="s">
        <v>31</v>
      </c>
      <c r="O7" s="74" t="s">
        <v>31</v>
      </c>
      <c r="P7" s="74" t="s">
        <v>31</v>
      </c>
      <c r="Q7" s="74" t="s">
        <v>31</v>
      </c>
      <c r="R7" s="74" t="s">
        <v>31</v>
      </c>
      <c r="S7" s="74" t="s">
        <v>31</v>
      </c>
      <c r="T7" s="74" t="s">
        <v>31</v>
      </c>
      <c r="U7" s="74" t="s">
        <v>31</v>
      </c>
      <c r="V7" s="74" t="s">
        <v>31</v>
      </c>
      <c r="W7" s="74" t="s">
        <v>31</v>
      </c>
      <c r="X7" s="74" t="s">
        <v>31</v>
      </c>
      <c r="Y7" s="74" t="s">
        <v>31</v>
      </c>
      <c r="Z7" s="74" t="s">
        <v>31</v>
      </c>
      <c r="AA7" s="74" t="s">
        <v>31</v>
      </c>
      <c r="AB7" s="74" t="s">
        <v>31</v>
      </c>
      <c r="AC7" s="74" t="s">
        <v>31</v>
      </c>
      <c r="AD7" s="74" t="s">
        <v>31</v>
      </c>
      <c r="AE7" s="74" t="s">
        <v>31</v>
      </c>
      <c r="AF7" s="74" t="s">
        <v>31</v>
      </c>
      <c r="AG7" s="74" t="s">
        <v>31</v>
      </c>
      <c r="AH7" s="38">
        <f>-1*'2b.FCosts'!C42</f>
        <v>-283.44695845651069</v>
      </c>
    </row>
    <row r="8" spans="1:34" x14ac:dyDescent="0.55000000000000004">
      <c r="B8" s="20" t="s">
        <v>2</v>
      </c>
      <c r="C8" s="41">
        <f>SUM(D8:AG8)</f>
        <v>0</v>
      </c>
      <c r="D8" s="38">
        <f>'3.FBenefits'!C16*'1.Params_8.Sensitivity'!$D$48</f>
        <v>0</v>
      </c>
      <c r="E8" s="38">
        <f>'3.FBenefits'!D16*'1.Params_8.Sensitivity'!$D$48</f>
        <v>0</v>
      </c>
      <c r="F8" s="38">
        <f>'3.FBenefits'!E16*'1.Params_8.Sensitivity'!$D$48</f>
        <v>0</v>
      </c>
      <c r="G8" s="38">
        <f>'3.FBenefits'!F16*'1.Params_8.Sensitivity'!$D$48</f>
        <v>0</v>
      </c>
      <c r="H8" s="38">
        <f>'3.FBenefits'!G16*'1.Params_8.Sensitivity'!$D$48</f>
        <v>0</v>
      </c>
      <c r="I8" s="202">
        <f>'3.FBenefits'!H20*'1.Params_8.Sensitivity'!$D$48</f>
        <v>0</v>
      </c>
      <c r="J8" s="202">
        <f>'3.FBenefits'!I20*'1.Params_8.Sensitivity'!$D$48</f>
        <v>0</v>
      </c>
      <c r="K8" s="202">
        <f>'3.FBenefits'!J20*'1.Params_8.Sensitivity'!$D$48</f>
        <v>0</v>
      </c>
      <c r="L8" s="202">
        <f>'3.FBenefits'!K20*'1.Params_8.Sensitivity'!$D$48</f>
        <v>0</v>
      </c>
      <c r="M8" s="202">
        <f>'3.FBenefits'!L20*'1.Params_8.Sensitivity'!$D$48</f>
        <v>0</v>
      </c>
      <c r="N8" s="202">
        <f>'3.FBenefits'!M20*'1.Params_8.Sensitivity'!$D$48</f>
        <v>0</v>
      </c>
      <c r="O8" s="202">
        <f>'3.FBenefits'!N20*'1.Params_8.Sensitivity'!$D$48</f>
        <v>0</v>
      </c>
      <c r="P8" s="202">
        <f>'3.FBenefits'!O20*'1.Params_8.Sensitivity'!$D$48</f>
        <v>0</v>
      </c>
      <c r="Q8" s="202">
        <f>'3.FBenefits'!P20*'1.Params_8.Sensitivity'!$D$48</f>
        <v>0</v>
      </c>
      <c r="R8" s="202">
        <f>'3.FBenefits'!Q20*'1.Params_8.Sensitivity'!$D$48</f>
        <v>0</v>
      </c>
      <c r="S8" s="202">
        <f>'3.FBenefits'!R20*'1.Params_8.Sensitivity'!$D$48</f>
        <v>0</v>
      </c>
      <c r="T8" s="202">
        <f>'3.FBenefits'!S20*'1.Params_8.Sensitivity'!$D$48</f>
        <v>0</v>
      </c>
      <c r="U8" s="202">
        <f>'3.FBenefits'!T20*'1.Params_8.Sensitivity'!$D$48</f>
        <v>0</v>
      </c>
      <c r="V8" s="202">
        <f>'3.FBenefits'!U20*'1.Params_8.Sensitivity'!$D$48</f>
        <v>0</v>
      </c>
      <c r="W8" s="202">
        <f>'3.FBenefits'!V20*'1.Params_8.Sensitivity'!$D$48</f>
        <v>0</v>
      </c>
      <c r="X8" s="202">
        <f>'3.FBenefits'!W20*'1.Params_8.Sensitivity'!$D$48</f>
        <v>0</v>
      </c>
      <c r="Y8" s="202">
        <f>'3.FBenefits'!X20*'1.Params_8.Sensitivity'!$D$48</f>
        <v>0</v>
      </c>
      <c r="Z8" s="202">
        <f>'3.FBenefits'!Y20*'1.Params_8.Sensitivity'!$D$48</f>
        <v>0</v>
      </c>
      <c r="AA8" s="202">
        <f>'3.FBenefits'!Z20*'1.Params_8.Sensitivity'!$D$48</f>
        <v>0</v>
      </c>
      <c r="AB8" s="202">
        <f>'3.FBenefits'!AA20*'1.Params_8.Sensitivity'!$D$48</f>
        <v>0</v>
      </c>
      <c r="AC8" s="202">
        <f>'3.FBenefits'!AB20*'1.Params_8.Sensitivity'!$D$48</f>
        <v>0</v>
      </c>
      <c r="AD8" s="202">
        <f>'3.FBenefits'!AC20*'1.Params_8.Sensitivity'!$D$48</f>
        <v>0</v>
      </c>
      <c r="AE8" s="202">
        <f>'3.FBenefits'!AD20*'1.Params_8.Sensitivity'!$D$48</f>
        <v>0</v>
      </c>
      <c r="AF8" s="202">
        <f>'3.FBenefits'!AE20*'1.Params_8.Sensitivity'!$D$48</f>
        <v>0</v>
      </c>
      <c r="AG8" s="202">
        <f>'3.FBenefits'!AF20*'1.Params_8.Sensitivity'!$D$48</f>
        <v>0</v>
      </c>
      <c r="AH8" s="38"/>
    </row>
    <row r="9" spans="1:34" x14ac:dyDescent="0.55000000000000004">
      <c r="B9" s="21" t="s">
        <v>3</v>
      </c>
      <c r="C9" s="42">
        <f>SUM(D9:AG9)</f>
        <v>-7135.5230415434926</v>
      </c>
      <c r="D9" s="43">
        <f>D8-D4</f>
        <v>-197.83919999999995</v>
      </c>
      <c r="E9" s="43">
        <f t="shared" ref="E9:AF9" si="1">E8-E4</f>
        <v>-494.5979999999999</v>
      </c>
      <c r="F9" s="43">
        <f t="shared" si="1"/>
        <v>-1483.7939999999996</v>
      </c>
      <c r="G9" s="43">
        <f t="shared" si="1"/>
        <v>-2225.6909999999998</v>
      </c>
      <c r="H9" s="43">
        <f t="shared" si="1"/>
        <v>-544.05779999999982</v>
      </c>
      <c r="I9" s="43">
        <f>I8-I4</f>
        <v>-98.919599999999988</v>
      </c>
      <c r="J9" s="43">
        <f t="shared" si="1"/>
        <v>-98.919599999999988</v>
      </c>
      <c r="K9" s="43">
        <f t="shared" si="1"/>
        <v>-98.919599999999988</v>
      </c>
      <c r="L9" s="43">
        <f t="shared" si="1"/>
        <v>-98.919599999999988</v>
      </c>
      <c r="M9" s="43">
        <f t="shared" si="1"/>
        <v>-98.919599999999988</v>
      </c>
      <c r="N9" s="43">
        <f t="shared" si="1"/>
        <v>-98.919599999999988</v>
      </c>
      <c r="O9" s="43">
        <f t="shared" si="1"/>
        <v>-98.919599999999988</v>
      </c>
      <c r="P9" s="43">
        <f t="shared" si="1"/>
        <v>-98.919599999999988</v>
      </c>
      <c r="Q9" s="43">
        <f t="shared" si="1"/>
        <v>-98.919599999999988</v>
      </c>
      <c r="R9" s="43">
        <f t="shared" si="1"/>
        <v>-98.919599999999988</v>
      </c>
      <c r="S9" s="43">
        <f t="shared" si="1"/>
        <v>-98.919599999999988</v>
      </c>
      <c r="T9" s="43">
        <f t="shared" si="1"/>
        <v>-98.919599999999988</v>
      </c>
      <c r="U9" s="43">
        <f t="shared" si="1"/>
        <v>-98.919599999999988</v>
      </c>
      <c r="V9" s="43">
        <f t="shared" si="1"/>
        <v>-98.919599999999988</v>
      </c>
      <c r="W9" s="43">
        <f t="shared" si="1"/>
        <v>-98.919599999999988</v>
      </c>
      <c r="X9" s="43">
        <f t="shared" si="1"/>
        <v>-98.919599999999988</v>
      </c>
      <c r="Y9" s="43">
        <f t="shared" si="1"/>
        <v>-98.919599999999988</v>
      </c>
      <c r="Z9" s="43">
        <f t="shared" si="1"/>
        <v>-98.919599999999988</v>
      </c>
      <c r="AA9" s="43">
        <f t="shared" si="1"/>
        <v>-98.919599999999988</v>
      </c>
      <c r="AB9" s="43">
        <f t="shared" si="1"/>
        <v>-98.919599999999988</v>
      </c>
      <c r="AC9" s="43">
        <f t="shared" si="1"/>
        <v>-98.919599999999988</v>
      </c>
      <c r="AD9" s="43">
        <f t="shared" si="1"/>
        <v>-98.919599999999988</v>
      </c>
      <c r="AE9" s="43">
        <f t="shared" si="1"/>
        <v>-98.919599999999988</v>
      </c>
      <c r="AF9" s="43">
        <f t="shared" si="1"/>
        <v>-98.919599999999988</v>
      </c>
      <c r="AG9" s="43">
        <f>AG8-AG4-AH7</f>
        <v>184.52735845651068</v>
      </c>
      <c r="AH9" s="43"/>
    </row>
    <row r="10" spans="1:34" x14ac:dyDescent="0.55000000000000004">
      <c r="B10" s="10"/>
      <c r="C10" s="38"/>
    </row>
    <row r="11" spans="1:34" x14ac:dyDescent="0.55000000000000004">
      <c r="B11" t="str">
        <f>"Financial Discount Rate ("&amp;TEXT('1.Params_8.Sensitivity'!D12,"0%")&amp;")"</f>
        <v>Financial Discount Rate (12%)</v>
      </c>
      <c r="C11" s="38" t="s">
        <v>132</v>
      </c>
      <c r="D11" s="2">
        <f>1/(1+'1.Params_8.Sensitivity'!$D$12)^D3</f>
        <v>0.89285714285714279</v>
      </c>
      <c r="E11" s="2">
        <f>1/(1+'1.Params_8.Sensitivity'!$D$12)^E3</f>
        <v>0.79719387755102034</v>
      </c>
      <c r="F11" s="2">
        <f>1/(1+'1.Params_8.Sensitivity'!$D$12)^F3</f>
        <v>0.71178024781341087</v>
      </c>
      <c r="G11" s="2">
        <f>1/(1+'1.Params_8.Sensitivity'!$D$12)^G3</f>
        <v>0.63551807840483121</v>
      </c>
      <c r="H11" s="2">
        <f>1/(1+'1.Params_8.Sensitivity'!$D$12)^H3</f>
        <v>0.56742685571859919</v>
      </c>
      <c r="I11" s="2">
        <f>1/(1+'1.Params_8.Sensitivity'!$D$12)^I3</f>
        <v>0.50663112117732068</v>
      </c>
      <c r="J11" s="2">
        <f>1/(1+'1.Params_8.Sensitivity'!$D$12)^J3</f>
        <v>0.45234921533689343</v>
      </c>
      <c r="K11" s="2">
        <f>1/(1+'1.Params_8.Sensitivity'!$D$12)^K3</f>
        <v>0.4038832279793691</v>
      </c>
      <c r="L11" s="2">
        <f>1/(1+'1.Params_8.Sensitivity'!$D$12)^L3</f>
        <v>0.36061002498157957</v>
      </c>
      <c r="M11" s="2">
        <f>1/(1+'1.Params_8.Sensitivity'!$D$12)^M3</f>
        <v>0.32197323659069599</v>
      </c>
      <c r="N11" s="2">
        <f>1/(1+'1.Params_8.Sensitivity'!$D$12)^N3</f>
        <v>0.28747610409883567</v>
      </c>
      <c r="O11" s="2">
        <f>1/(1+'1.Params_8.Sensitivity'!$D$12)^O3</f>
        <v>0.25667509294538904</v>
      </c>
      <c r="P11" s="2">
        <f>1/(1+'1.Params_8.Sensitivity'!$D$12)^P3</f>
        <v>0.22917419012981158</v>
      </c>
      <c r="Q11" s="2">
        <f>1/(1+'1.Params_8.Sensitivity'!$D$12)^Q3</f>
        <v>0.20461981261590317</v>
      </c>
      <c r="R11" s="2">
        <f>1/(1+'1.Params_8.Sensitivity'!$D$12)^R3</f>
        <v>0.18269626126419927</v>
      </c>
      <c r="S11" s="2">
        <f>1/(1+'1.Params_8.Sensitivity'!$D$12)^S3</f>
        <v>0.16312166184303503</v>
      </c>
      <c r="T11" s="2">
        <f>1/(1+'1.Params_8.Sensitivity'!$D$12)^T3</f>
        <v>0.14564434093128129</v>
      </c>
      <c r="U11" s="2">
        <f>1/(1+'1.Params_8.Sensitivity'!$D$12)^U3</f>
        <v>0.13003959011721541</v>
      </c>
      <c r="V11" s="2">
        <f>1/(1+'1.Params_8.Sensitivity'!$D$12)^V3</f>
        <v>0.1161067768903709</v>
      </c>
      <c r="W11" s="2">
        <f>1/(1+'1.Params_8.Sensitivity'!$D$12)^W3</f>
        <v>0.1036667650806883</v>
      </c>
      <c r="X11" s="2">
        <f>1/(1+'1.Params_8.Sensitivity'!$D$12)^X3</f>
        <v>9.2559611679185971E-2</v>
      </c>
      <c r="Y11" s="2">
        <f>1/(1+'1.Params_8.Sensitivity'!$D$12)^Y3</f>
        <v>8.2642510427844609E-2</v>
      </c>
      <c r="Z11" s="2">
        <f>1/(1+'1.Params_8.Sensitivity'!$D$12)^Z3</f>
        <v>7.3787955739146982E-2</v>
      </c>
      <c r="AA11" s="2">
        <f>1/(1+'1.Params_8.Sensitivity'!$D$12)^AA3</f>
        <v>6.5882103338524081E-2</v>
      </c>
      <c r="AB11" s="2">
        <f>1/(1+'1.Params_8.Sensitivity'!$D$12)^AB3</f>
        <v>5.8823306552253637E-2</v>
      </c>
      <c r="AC11" s="2">
        <f>1/(1+'1.Params_8.Sensitivity'!$D$12)^AC3</f>
        <v>5.2520809421655032E-2</v>
      </c>
      <c r="AD11" s="2">
        <f>1/(1+'1.Params_8.Sensitivity'!$D$12)^AD3</f>
        <v>4.6893579840763415E-2</v>
      </c>
      <c r="AE11" s="2">
        <f>1/(1+'1.Params_8.Sensitivity'!$D$12)^AE3</f>
        <v>4.1869267714967337E-2</v>
      </c>
      <c r="AF11" s="2">
        <f>1/(1+'1.Params_8.Sensitivity'!$D$12)^AF3</f>
        <v>3.7383274745506546E-2</v>
      </c>
      <c r="AG11" s="2">
        <f>1/(1+'1.Params_8.Sensitivity'!$D$12)^AG3</f>
        <v>3.3377923879916553E-2</v>
      </c>
      <c r="AH11" s="2"/>
    </row>
    <row r="13" spans="1:34" x14ac:dyDescent="0.55000000000000004">
      <c r="B13" s="400" t="s">
        <v>135</v>
      </c>
      <c r="C13" s="400" t="s">
        <v>24</v>
      </c>
      <c r="D13" s="405" t="s">
        <v>0</v>
      </c>
      <c r="E13" s="405"/>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0" t="s">
        <v>30</v>
      </c>
    </row>
    <row r="14" spans="1:34" x14ac:dyDescent="0.55000000000000004">
      <c r="B14" s="401"/>
      <c r="C14" s="401"/>
      <c r="D14" s="11">
        <v>1</v>
      </c>
      <c r="E14" s="11">
        <v>2</v>
      </c>
      <c r="F14" s="11">
        <v>3</v>
      </c>
      <c r="G14" s="11">
        <v>4</v>
      </c>
      <c r="H14" s="11">
        <v>5</v>
      </c>
      <c r="I14" s="84">
        <v>6</v>
      </c>
      <c r="J14" s="84">
        <v>7</v>
      </c>
      <c r="K14" s="84">
        <v>8</v>
      </c>
      <c r="L14" s="84">
        <v>9</v>
      </c>
      <c r="M14" s="84">
        <v>10</v>
      </c>
      <c r="N14" s="84">
        <v>11</v>
      </c>
      <c r="O14" s="84">
        <v>12</v>
      </c>
      <c r="P14" s="84">
        <v>13</v>
      </c>
      <c r="Q14" s="84">
        <v>14</v>
      </c>
      <c r="R14" s="84">
        <v>15</v>
      </c>
      <c r="S14" s="84">
        <v>16</v>
      </c>
      <c r="T14" s="84">
        <v>17</v>
      </c>
      <c r="U14" s="84">
        <v>18</v>
      </c>
      <c r="V14" s="84">
        <v>19</v>
      </c>
      <c r="W14" s="84">
        <v>20</v>
      </c>
      <c r="X14" s="84">
        <v>21</v>
      </c>
      <c r="Y14" s="84">
        <v>22</v>
      </c>
      <c r="Z14" s="84">
        <v>23</v>
      </c>
      <c r="AA14" s="84">
        <v>24</v>
      </c>
      <c r="AB14" s="84">
        <v>25</v>
      </c>
      <c r="AC14" s="84">
        <v>26</v>
      </c>
      <c r="AD14" s="84">
        <v>27</v>
      </c>
      <c r="AE14" s="84">
        <v>28</v>
      </c>
      <c r="AF14" s="84">
        <v>29</v>
      </c>
      <c r="AG14" s="84">
        <v>30</v>
      </c>
      <c r="AH14" s="401"/>
    </row>
    <row r="15" spans="1:34" x14ac:dyDescent="0.55000000000000004">
      <c r="B15" s="18" t="s">
        <v>1</v>
      </c>
      <c r="C15" s="39">
        <f>SUM(D15:AG15)+C18</f>
        <v>3781.019460535505</v>
      </c>
      <c r="D15" s="40">
        <f>D4*D$11</f>
        <v>176.6421428571428</v>
      </c>
      <c r="E15" s="40">
        <f>E4*E$11</f>
        <v>394.29049744897947</v>
      </c>
      <c r="F15" s="40">
        <f t="shared" ref="F15:AG15" si="2">F4*F$11</f>
        <v>1056.1352610240519</v>
      </c>
      <c r="G15" s="40">
        <f t="shared" si="2"/>
        <v>1414.466867442927</v>
      </c>
      <c r="H15" s="40">
        <f>H4*H$11</f>
        <v>308.7130067831784</v>
      </c>
      <c r="I15" s="40">
        <f>I4*I$11</f>
        <v>50.115747854412085</v>
      </c>
      <c r="J15" s="40">
        <f t="shared" si="2"/>
        <v>44.746203441439356</v>
      </c>
      <c r="K15" s="40">
        <f t="shared" si="2"/>
        <v>39.951967358427993</v>
      </c>
      <c r="L15" s="40">
        <f t="shared" si="2"/>
        <v>35.671399427167856</v>
      </c>
      <c r="M15" s="40">
        <f t="shared" si="2"/>
        <v>31.849463774257007</v>
      </c>
      <c r="N15" s="40">
        <f t="shared" si="2"/>
        <v>28.437021227015183</v>
      </c>
      <c r="O15" s="40">
        <f t="shared" si="2"/>
        <v>25.390197524120701</v>
      </c>
      <c r="P15" s="40">
        <f t="shared" si="2"/>
        <v>22.669819217964907</v>
      </c>
      <c r="Q15" s="40">
        <f t="shared" si="2"/>
        <v>20.240910016040093</v>
      </c>
      <c r="R15" s="40">
        <f t="shared" si="2"/>
        <v>18.072241085750083</v>
      </c>
      <c r="S15" s="40">
        <f t="shared" si="2"/>
        <v>16.135929540848288</v>
      </c>
      <c r="T15" s="40">
        <f t="shared" si="2"/>
        <v>14.40707994718597</v>
      </c>
      <c r="U15" s="40">
        <f t="shared" si="2"/>
        <v>12.863464238558901</v>
      </c>
      <c r="V15" s="40">
        <f t="shared" si="2"/>
        <v>11.485235927284732</v>
      </c>
      <c r="W15" s="40">
        <f t="shared" si="2"/>
        <v>10.254674935075652</v>
      </c>
      <c r="X15" s="40">
        <f t="shared" si="2"/>
        <v>9.1559597634604035</v>
      </c>
      <c r="Y15" s="40">
        <f t="shared" si="2"/>
        <v>8.1749640745182166</v>
      </c>
      <c r="Z15" s="40">
        <f t="shared" si="2"/>
        <v>7.2990750665341233</v>
      </c>
      <c r="AA15" s="40">
        <f t="shared" si="2"/>
        <v>6.5170313094054659</v>
      </c>
      <c r="AB15" s="40">
        <f t="shared" si="2"/>
        <v>5.8187779548263086</v>
      </c>
      <c r="AC15" s="40">
        <f t="shared" si="2"/>
        <v>5.1953374596663462</v>
      </c>
      <c r="AD15" s="40">
        <f t="shared" si="2"/>
        <v>4.6386941604163798</v>
      </c>
      <c r="AE15" s="40">
        <f t="shared" si="2"/>
        <v>4.1416912146574827</v>
      </c>
      <c r="AF15" s="40">
        <f t="shared" si="2"/>
        <v>3.697938584515609</v>
      </c>
      <c r="AG15" s="40">
        <f t="shared" si="2"/>
        <v>3.3017308790317932</v>
      </c>
      <c r="AH15" s="40"/>
    </row>
    <row r="16" spans="1:34" x14ac:dyDescent="0.55000000000000004">
      <c r="B16" s="19" t="s">
        <v>225</v>
      </c>
      <c r="C16" s="38">
        <f>SUM(D16:AG16)</f>
        <v>3350.2477755562795</v>
      </c>
      <c r="D16" s="38">
        <f t="shared" ref="D16:H16" si="3">D5*D$11</f>
        <v>176.6421428571428</v>
      </c>
      <c r="E16" s="38">
        <f t="shared" si="3"/>
        <v>394.29049744897947</v>
      </c>
      <c r="F16" s="38">
        <f t="shared" si="3"/>
        <v>1056.1352610240519</v>
      </c>
      <c r="G16" s="38">
        <f t="shared" si="3"/>
        <v>1414.466867442927</v>
      </c>
      <c r="H16" s="38">
        <f t="shared" si="3"/>
        <v>308.7130067831784</v>
      </c>
      <c r="I16" s="316" t="s">
        <v>31</v>
      </c>
      <c r="J16" s="316" t="s">
        <v>31</v>
      </c>
      <c r="K16" s="316" t="s">
        <v>31</v>
      </c>
      <c r="L16" s="316" t="s">
        <v>31</v>
      </c>
      <c r="M16" s="316" t="s">
        <v>31</v>
      </c>
      <c r="N16" s="316" t="s">
        <v>31</v>
      </c>
      <c r="O16" s="316" t="s">
        <v>31</v>
      </c>
      <c r="P16" s="316" t="s">
        <v>31</v>
      </c>
      <c r="Q16" s="316" t="s">
        <v>31</v>
      </c>
      <c r="R16" s="316" t="s">
        <v>31</v>
      </c>
      <c r="S16" s="316" t="s">
        <v>31</v>
      </c>
      <c r="T16" s="316" t="s">
        <v>31</v>
      </c>
      <c r="U16" s="316" t="s">
        <v>31</v>
      </c>
      <c r="V16" s="316" t="s">
        <v>31</v>
      </c>
      <c r="W16" s="316" t="s">
        <v>31</v>
      </c>
      <c r="X16" s="316" t="s">
        <v>31</v>
      </c>
      <c r="Y16" s="316" t="s">
        <v>31</v>
      </c>
      <c r="Z16" s="316" t="s">
        <v>31</v>
      </c>
      <c r="AA16" s="316" t="s">
        <v>31</v>
      </c>
      <c r="AB16" s="316" t="s">
        <v>31</v>
      </c>
      <c r="AC16" s="316" t="s">
        <v>31</v>
      </c>
      <c r="AD16" s="316" t="s">
        <v>31</v>
      </c>
      <c r="AE16" s="316" t="s">
        <v>31</v>
      </c>
      <c r="AF16" s="316" t="s">
        <v>31</v>
      </c>
      <c r="AG16" s="316" t="s">
        <v>31</v>
      </c>
      <c r="AH16" s="38"/>
    </row>
    <row r="17" spans="2:34" x14ac:dyDescent="0.55000000000000004">
      <c r="B17" s="19" t="s">
        <v>226</v>
      </c>
      <c r="C17" s="38">
        <f>SUM(D17:AG17)</f>
        <v>440.232555982581</v>
      </c>
      <c r="D17" s="38">
        <f t="shared" ref="D17:AG17" si="4">D6*D$11</f>
        <v>0</v>
      </c>
      <c r="E17" s="38">
        <f t="shared" si="4"/>
        <v>0</v>
      </c>
      <c r="F17" s="38">
        <f t="shared" si="4"/>
        <v>0</v>
      </c>
      <c r="G17" s="38">
        <f t="shared" si="4"/>
        <v>0</v>
      </c>
      <c r="H17" s="38">
        <f t="shared" si="4"/>
        <v>0</v>
      </c>
      <c r="I17" s="38">
        <f t="shared" si="4"/>
        <v>50.115747854412085</v>
      </c>
      <c r="J17" s="38">
        <f t="shared" si="4"/>
        <v>44.746203441439356</v>
      </c>
      <c r="K17" s="38">
        <f t="shared" si="4"/>
        <v>39.951967358427993</v>
      </c>
      <c r="L17" s="38">
        <f t="shared" si="4"/>
        <v>35.671399427167856</v>
      </c>
      <c r="M17" s="38">
        <f t="shared" si="4"/>
        <v>31.849463774257007</v>
      </c>
      <c r="N17" s="38">
        <f t="shared" si="4"/>
        <v>28.437021227015183</v>
      </c>
      <c r="O17" s="38">
        <f t="shared" si="4"/>
        <v>25.390197524120701</v>
      </c>
      <c r="P17" s="38">
        <f t="shared" si="4"/>
        <v>22.669819217964907</v>
      </c>
      <c r="Q17" s="38">
        <f t="shared" si="4"/>
        <v>20.240910016040093</v>
      </c>
      <c r="R17" s="38">
        <f t="shared" si="4"/>
        <v>18.072241085750083</v>
      </c>
      <c r="S17" s="38">
        <f t="shared" si="4"/>
        <v>16.135929540848288</v>
      </c>
      <c r="T17" s="38">
        <f t="shared" si="4"/>
        <v>14.40707994718597</v>
      </c>
      <c r="U17" s="38">
        <f t="shared" si="4"/>
        <v>12.863464238558901</v>
      </c>
      <c r="V17" s="38">
        <f t="shared" si="4"/>
        <v>11.485235927284732</v>
      </c>
      <c r="W17" s="38">
        <f t="shared" si="4"/>
        <v>10.254674935075652</v>
      </c>
      <c r="X17" s="38">
        <f t="shared" si="4"/>
        <v>9.1559597634604035</v>
      </c>
      <c r="Y17" s="38">
        <f t="shared" si="4"/>
        <v>8.1749640745182166</v>
      </c>
      <c r="Z17" s="38">
        <f t="shared" si="4"/>
        <v>7.2990750665341233</v>
      </c>
      <c r="AA17" s="38">
        <f t="shared" si="4"/>
        <v>6.5170313094054659</v>
      </c>
      <c r="AB17" s="38">
        <f t="shared" si="4"/>
        <v>5.8187779548263086</v>
      </c>
      <c r="AC17" s="38">
        <f t="shared" si="4"/>
        <v>5.1953374596663462</v>
      </c>
      <c r="AD17" s="38">
        <f t="shared" si="4"/>
        <v>4.6386941604163798</v>
      </c>
      <c r="AE17" s="38">
        <f t="shared" si="4"/>
        <v>4.1416912146574827</v>
      </c>
      <c r="AF17" s="38">
        <f t="shared" si="4"/>
        <v>3.697938584515609</v>
      </c>
      <c r="AG17" s="38">
        <f t="shared" si="4"/>
        <v>3.3017308790317932</v>
      </c>
      <c r="AH17" s="38"/>
    </row>
    <row r="18" spans="2:34" x14ac:dyDescent="0.55000000000000004">
      <c r="B18" s="19" t="s">
        <v>227</v>
      </c>
      <c r="C18" s="38">
        <f>AH18</f>
        <v>-9.4608710033552832</v>
      </c>
      <c r="D18" s="74" t="s">
        <v>31</v>
      </c>
      <c r="E18" s="74" t="s">
        <v>31</v>
      </c>
      <c r="F18" s="74" t="s">
        <v>31</v>
      </c>
      <c r="G18" s="74" t="s">
        <v>31</v>
      </c>
      <c r="H18" s="74" t="s">
        <v>31</v>
      </c>
      <c r="I18" s="74" t="s">
        <v>31</v>
      </c>
      <c r="J18" s="74" t="s">
        <v>31</v>
      </c>
      <c r="K18" s="74" t="s">
        <v>31</v>
      </c>
      <c r="L18" s="74" t="s">
        <v>31</v>
      </c>
      <c r="M18" s="74" t="s">
        <v>31</v>
      </c>
      <c r="N18" s="74" t="s">
        <v>31</v>
      </c>
      <c r="O18" s="74" t="s">
        <v>31</v>
      </c>
      <c r="P18" s="74" t="s">
        <v>31</v>
      </c>
      <c r="Q18" s="74" t="s">
        <v>31</v>
      </c>
      <c r="R18" s="74" t="s">
        <v>31</v>
      </c>
      <c r="S18" s="74" t="s">
        <v>31</v>
      </c>
      <c r="T18" s="74" t="s">
        <v>31</v>
      </c>
      <c r="U18" s="74" t="s">
        <v>31</v>
      </c>
      <c r="V18" s="74" t="s">
        <v>31</v>
      </c>
      <c r="W18" s="74" t="s">
        <v>31</v>
      </c>
      <c r="X18" s="74" t="s">
        <v>31</v>
      </c>
      <c r="Y18" s="74" t="s">
        <v>31</v>
      </c>
      <c r="Z18" s="74" t="s">
        <v>31</v>
      </c>
      <c r="AA18" s="74" t="s">
        <v>31</v>
      </c>
      <c r="AB18" s="74" t="s">
        <v>31</v>
      </c>
      <c r="AC18" s="74" t="s">
        <v>31</v>
      </c>
      <c r="AD18" s="74" t="s">
        <v>31</v>
      </c>
      <c r="AE18" s="74" t="s">
        <v>31</v>
      </c>
      <c r="AF18" s="74" t="s">
        <v>31</v>
      </c>
      <c r="AG18" s="74" t="s">
        <v>31</v>
      </c>
      <c r="AH18" s="38">
        <f>AH7*AG11</f>
        <v>-9.4608710033552832</v>
      </c>
    </row>
    <row r="19" spans="2:34" x14ac:dyDescent="0.55000000000000004">
      <c r="B19" s="20" t="s">
        <v>2</v>
      </c>
      <c r="C19" s="41">
        <f>SUM(D19:AG19)</f>
        <v>0</v>
      </c>
      <c r="D19" s="38">
        <f>D8*D$11</f>
        <v>0</v>
      </c>
      <c r="E19" s="38">
        <f t="shared" ref="E19:AF19" si="5">E8*E$11</f>
        <v>0</v>
      </c>
      <c r="F19" s="38">
        <f t="shared" si="5"/>
        <v>0</v>
      </c>
      <c r="G19" s="38">
        <f t="shared" si="5"/>
        <v>0</v>
      </c>
      <c r="H19" s="38">
        <f t="shared" si="5"/>
        <v>0</v>
      </c>
      <c r="I19" s="38">
        <f>I8*I$11</f>
        <v>0</v>
      </c>
      <c r="J19" s="38">
        <f t="shared" si="5"/>
        <v>0</v>
      </c>
      <c r="K19" s="38">
        <f t="shared" si="5"/>
        <v>0</v>
      </c>
      <c r="L19" s="38">
        <f t="shared" si="5"/>
        <v>0</v>
      </c>
      <c r="M19" s="38">
        <f t="shared" si="5"/>
        <v>0</v>
      </c>
      <c r="N19" s="38">
        <f t="shared" si="5"/>
        <v>0</v>
      </c>
      <c r="O19" s="38">
        <f t="shared" si="5"/>
        <v>0</v>
      </c>
      <c r="P19" s="38">
        <f t="shared" si="5"/>
        <v>0</v>
      </c>
      <c r="Q19" s="38">
        <f t="shared" si="5"/>
        <v>0</v>
      </c>
      <c r="R19" s="38">
        <f t="shared" si="5"/>
        <v>0</v>
      </c>
      <c r="S19" s="38">
        <f t="shared" si="5"/>
        <v>0</v>
      </c>
      <c r="T19" s="38">
        <f t="shared" si="5"/>
        <v>0</v>
      </c>
      <c r="U19" s="38">
        <f t="shared" si="5"/>
        <v>0</v>
      </c>
      <c r="V19" s="38">
        <f t="shared" si="5"/>
        <v>0</v>
      </c>
      <c r="W19" s="38">
        <f t="shared" si="5"/>
        <v>0</v>
      </c>
      <c r="X19" s="38">
        <f t="shared" si="5"/>
        <v>0</v>
      </c>
      <c r="Y19" s="38">
        <f t="shared" si="5"/>
        <v>0</v>
      </c>
      <c r="Z19" s="38">
        <f t="shared" si="5"/>
        <v>0</v>
      </c>
      <c r="AA19" s="38">
        <f t="shared" si="5"/>
        <v>0</v>
      </c>
      <c r="AB19" s="38">
        <f t="shared" si="5"/>
        <v>0</v>
      </c>
      <c r="AC19" s="38">
        <f t="shared" si="5"/>
        <v>0</v>
      </c>
      <c r="AD19" s="38">
        <f t="shared" si="5"/>
        <v>0</v>
      </c>
      <c r="AE19" s="38">
        <f t="shared" si="5"/>
        <v>0</v>
      </c>
      <c r="AF19" s="38">
        <f t="shared" si="5"/>
        <v>0</v>
      </c>
      <c r="AG19" s="38">
        <f>AG8*AG$11</f>
        <v>0</v>
      </c>
      <c r="AH19" s="38"/>
    </row>
    <row r="20" spans="2:34" x14ac:dyDescent="0.55000000000000004">
      <c r="B20" s="21" t="s">
        <v>3</v>
      </c>
      <c r="C20" s="42">
        <f>SUM(D20:AG20)</f>
        <v>-3781.019460535505</v>
      </c>
      <c r="D20" s="43">
        <f>D9*D$11</f>
        <v>-176.6421428571428</v>
      </c>
      <c r="E20" s="43">
        <f t="shared" ref="E20:AF20" si="6">E9*E$11</f>
        <v>-394.29049744897947</v>
      </c>
      <c r="F20" s="43">
        <f t="shared" si="6"/>
        <v>-1056.1352610240519</v>
      </c>
      <c r="G20" s="43">
        <f t="shared" si="6"/>
        <v>-1414.466867442927</v>
      </c>
      <c r="H20" s="43">
        <f t="shared" si="6"/>
        <v>-308.7130067831784</v>
      </c>
      <c r="I20" s="43">
        <f t="shared" si="6"/>
        <v>-50.115747854412085</v>
      </c>
      <c r="J20" s="43">
        <f t="shared" si="6"/>
        <v>-44.746203441439356</v>
      </c>
      <c r="K20" s="43">
        <f t="shared" si="6"/>
        <v>-39.951967358427993</v>
      </c>
      <c r="L20" s="43">
        <f t="shared" si="6"/>
        <v>-35.671399427167856</v>
      </c>
      <c r="M20" s="43">
        <f t="shared" si="6"/>
        <v>-31.849463774257007</v>
      </c>
      <c r="N20" s="43">
        <f t="shared" si="6"/>
        <v>-28.437021227015183</v>
      </c>
      <c r="O20" s="43">
        <f t="shared" si="6"/>
        <v>-25.390197524120701</v>
      </c>
      <c r="P20" s="43">
        <f t="shared" si="6"/>
        <v>-22.669819217964907</v>
      </c>
      <c r="Q20" s="43">
        <f t="shared" si="6"/>
        <v>-20.240910016040093</v>
      </c>
      <c r="R20" s="43">
        <f t="shared" si="6"/>
        <v>-18.072241085750083</v>
      </c>
      <c r="S20" s="43">
        <f t="shared" si="6"/>
        <v>-16.135929540848288</v>
      </c>
      <c r="T20" s="43">
        <f t="shared" si="6"/>
        <v>-14.40707994718597</v>
      </c>
      <c r="U20" s="43">
        <f t="shared" si="6"/>
        <v>-12.863464238558901</v>
      </c>
      <c r="V20" s="43">
        <f t="shared" si="6"/>
        <v>-11.485235927284732</v>
      </c>
      <c r="W20" s="43">
        <f t="shared" si="6"/>
        <v>-10.254674935075652</v>
      </c>
      <c r="X20" s="43">
        <f t="shared" si="6"/>
        <v>-9.1559597634604035</v>
      </c>
      <c r="Y20" s="43">
        <f t="shared" si="6"/>
        <v>-8.1749640745182166</v>
      </c>
      <c r="Z20" s="43">
        <f t="shared" si="6"/>
        <v>-7.2990750665341233</v>
      </c>
      <c r="AA20" s="43">
        <f t="shared" si="6"/>
        <v>-6.5170313094054659</v>
      </c>
      <c r="AB20" s="43">
        <f t="shared" si="6"/>
        <v>-5.8187779548263086</v>
      </c>
      <c r="AC20" s="43">
        <f t="shared" si="6"/>
        <v>-5.1953374596663462</v>
      </c>
      <c r="AD20" s="43">
        <f t="shared" si="6"/>
        <v>-4.6386941604163798</v>
      </c>
      <c r="AE20" s="43">
        <f t="shared" si="6"/>
        <v>-4.1416912146574827</v>
      </c>
      <c r="AF20" s="43">
        <f t="shared" si="6"/>
        <v>-3.697938584515609</v>
      </c>
      <c r="AG20" s="43">
        <f>AG9*AG$11</f>
        <v>6.15914012432349</v>
      </c>
      <c r="AH20" s="43"/>
    </row>
    <row r="22" spans="2:34" ht="20" x14ac:dyDescent="0.6">
      <c r="B22" s="108" t="s">
        <v>19</v>
      </c>
      <c r="C22" s="109">
        <f>NPV('1.Params_8.Sensitivity'!D12,'4a.FAnalysis'!D9:AG9)</f>
        <v>-3781.0194605355032</v>
      </c>
      <c r="D22" s="136" t="s">
        <v>103</v>
      </c>
      <c r="E22" s="38">
        <f>C19-C15</f>
        <v>-3781.019460535505</v>
      </c>
    </row>
    <row r="23" spans="2:34" ht="20" x14ac:dyDescent="0.6">
      <c r="B23" s="108" t="s">
        <v>20</v>
      </c>
      <c r="C23" s="111">
        <f>NPV('1.Params_8.Sensitivity'!D12,'4a.FAnalysis'!D8:AG8)/NPV('1.Params_8.Sensitivity'!D12,'4a.FAnalysis'!D4:AF4, (AG4+AH7))</f>
        <v>0</v>
      </c>
      <c r="E23" s="187">
        <f>C19/C15</f>
        <v>0</v>
      </c>
      <c r="G23" s="186"/>
    </row>
    <row r="24" spans="2:34" ht="20" x14ac:dyDescent="0.6">
      <c r="B24" s="108" t="s">
        <v>18</v>
      </c>
      <c r="C24" s="110" t="str">
        <f>IFERROR(IRR(D9:AG9), "        n/a")</f>
        <v xml:space="preserve">        n/a</v>
      </c>
    </row>
    <row r="26" spans="2:34" x14ac:dyDescent="0.55000000000000004">
      <c r="D26" s="406"/>
      <c r="E26" s="406"/>
      <c r="F26" s="406"/>
      <c r="G26" s="406"/>
      <c r="H26" s="406"/>
      <c r="I26" s="406"/>
    </row>
    <row r="27" spans="2:34" x14ac:dyDescent="0.55000000000000004">
      <c r="B27" s="137"/>
      <c r="C27" s="137"/>
      <c r="D27" s="137"/>
      <c r="E27" s="137"/>
      <c r="F27" s="137"/>
      <c r="G27" s="137"/>
      <c r="H27" s="137"/>
      <c r="I27" s="137"/>
    </row>
    <row r="28" spans="2:34" x14ac:dyDescent="0.55000000000000004">
      <c r="C28" s="138"/>
      <c r="D28" s="38"/>
      <c r="E28" s="127"/>
      <c r="F28" s="79"/>
      <c r="G28" s="38"/>
      <c r="H28" s="127"/>
      <c r="I28" s="79"/>
      <c r="J28" s="138"/>
    </row>
    <row r="29" spans="2:34" x14ac:dyDescent="0.55000000000000004">
      <c r="C29" s="138"/>
    </row>
    <row r="30" spans="2:34" x14ac:dyDescent="0.55000000000000004">
      <c r="C30" s="138"/>
    </row>
    <row r="31" spans="2:34" x14ac:dyDescent="0.55000000000000004">
      <c r="C31" s="138"/>
    </row>
    <row r="32" spans="2:34" x14ac:dyDescent="0.55000000000000004">
      <c r="C32" s="138"/>
    </row>
    <row r="33" spans="3:3" x14ac:dyDescent="0.55000000000000004">
      <c r="C33" s="138"/>
    </row>
  </sheetData>
  <sheetProtection algorithmName="SHA-512" hashValue="oxQ7LAj76thBqtp3/ikbtUfXabunPOejktN83AS3LtoRcllWAazYwz7IV2APcxHUal4Phmy3vVQ8fpUDo/xcIQ==" saltValue="NJQSaeLaO5QTpm8CsXbI8w==" spinCount="100000" sheet="1" objects="1" scenarios="1" autoFilter="0"/>
  <mergeCells count="10">
    <mergeCell ref="D26:F26"/>
    <mergeCell ref="G26:I26"/>
    <mergeCell ref="AH2:AH3"/>
    <mergeCell ref="AH13:AH14"/>
    <mergeCell ref="D2:AG2"/>
    <mergeCell ref="C2:C3"/>
    <mergeCell ref="B2:B3"/>
    <mergeCell ref="B13:B14"/>
    <mergeCell ref="C13:C14"/>
    <mergeCell ref="D13:AG13"/>
  </mergeCells>
  <phoneticPr fontId="3"/>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9CCC-87BC-4946-BDF3-FD9EDD2C83A5}">
  <sheetPr codeName="Sheet7">
    <tabColor theme="4" tint="0.59999389629810485"/>
  </sheetPr>
  <dimension ref="A1:T3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8" x14ac:dyDescent="0.55000000000000004"/>
  <cols>
    <col min="1" max="1" width="2.58203125" customWidth="1"/>
    <col min="2" max="2" width="6.58203125" customWidth="1"/>
    <col min="3" max="3" width="4.58203125" customWidth="1"/>
    <col min="4" max="9" width="12.75" customWidth="1"/>
    <col min="10" max="10" width="1.58203125" customWidth="1"/>
    <col min="11" max="11" width="12.75" customWidth="1"/>
    <col min="12" max="12" width="1.58203125" customWidth="1"/>
    <col min="13" max="13" width="6.58203125" customWidth="1"/>
    <col min="14" max="14" width="4.58203125" customWidth="1"/>
    <col min="15" max="20" width="12.75" customWidth="1"/>
  </cols>
  <sheetData>
    <row r="1" spans="1:20" s="3" customFormat="1" ht="20" x14ac:dyDescent="0.6">
      <c r="A1" s="5" t="str">
        <f>"Cash Flows of Financial Costs and Benefits ("&amp;MID('0.Contents'!A1,20,(LEN('0.Contents'!A1)-20))&amp;")----Vertical format"</f>
        <v>Cash Flows of Financial Costs and Benefits (Rural Infrastructure Development)----Vertical format</v>
      </c>
    </row>
    <row r="2" spans="1:20" x14ac:dyDescent="0.55000000000000004">
      <c r="B2" s="405" t="str">
        <f>'4a.FAnalysis'!B2</f>
        <v>At Constant Prices/Before Discounting (lakh)</v>
      </c>
      <c r="C2" s="405"/>
      <c r="D2" s="405"/>
      <c r="E2" s="405"/>
      <c r="F2" s="405"/>
      <c r="G2" s="405"/>
      <c r="H2" s="405"/>
      <c r="I2" s="405"/>
      <c r="M2" s="405" t="str">
        <f>'4a.FAnalysis'!B13</f>
        <v>Present Values (lakh)</v>
      </c>
      <c r="N2" s="405"/>
      <c r="O2" s="405"/>
      <c r="P2" s="405"/>
      <c r="Q2" s="405"/>
      <c r="R2" s="405"/>
      <c r="S2" s="405"/>
      <c r="T2" s="405"/>
    </row>
    <row r="3" spans="1:20" s="243" customFormat="1" ht="90" x14ac:dyDescent="0.55000000000000004">
      <c r="B3" s="8"/>
      <c r="C3" s="8"/>
      <c r="D3" s="244" t="s">
        <v>1</v>
      </c>
      <c r="E3" s="245" t="s">
        <v>225</v>
      </c>
      <c r="F3" s="245" t="s">
        <v>226</v>
      </c>
      <c r="G3" s="245" t="s">
        <v>227</v>
      </c>
      <c r="H3" s="244" t="s">
        <v>2</v>
      </c>
      <c r="I3" s="244" t="s">
        <v>3</v>
      </c>
      <c r="J3" s="246"/>
      <c r="K3" s="249" t="str">
        <f>'4a.FAnalysis'!B11</f>
        <v>Financial Discount Rate (12%)</v>
      </c>
      <c r="L3" s="246"/>
      <c r="M3" s="245"/>
      <c r="N3" s="8"/>
      <c r="O3" s="244" t="s">
        <v>1</v>
      </c>
      <c r="P3" s="245" t="s">
        <v>225</v>
      </c>
      <c r="Q3" s="245" t="s">
        <v>226</v>
      </c>
      <c r="R3" s="245" t="s">
        <v>227</v>
      </c>
      <c r="S3" s="244" t="s">
        <v>2</v>
      </c>
      <c r="T3" s="244" t="s">
        <v>3</v>
      </c>
    </row>
    <row r="4" spans="1:20" x14ac:dyDescent="0.55000000000000004">
      <c r="B4" s="407" t="s">
        <v>24</v>
      </c>
      <c r="C4" s="407"/>
      <c r="D4" s="248">
        <f>'4a.FAnalysis'!C$4</f>
        <v>7135.5230415434926</v>
      </c>
      <c r="E4" s="172">
        <f>'4a.FAnalysis'!C$5</f>
        <v>4945.9799999999987</v>
      </c>
      <c r="F4" s="172">
        <f>'4a.FAnalysis'!C$6</f>
        <v>2472.9899999999998</v>
      </c>
      <c r="G4" s="172">
        <f>'4a.FAnalysis'!C$7</f>
        <v>-283.44695845651069</v>
      </c>
      <c r="H4" s="248">
        <f>'4a.FAnalysis'!C$8</f>
        <v>0</v>
      </c>
      <c r="I4" s="248">
        <f>'4a.FAnalysis'!C$9</f>
        <v>-7135.5230415434926</v>
      </c>
      <c r="J4" s="248"/>
      <c r="K4" s="250" t="str">
        <f>'4a.FAnalysis'!C$11</f>
        <v>DF</v>
      </c>
      <c r="L4" s="248"/>
      <c r="M4" s="409" t="s">
        <v>24</v>
      </c>
      <c r="N4" s="409"/>
      <c r="O4" s="248">
        <f>'4a.FAnalysis'!C$15</f>
        <v>3781.019460535505</v>
      </c>
      <c r="P4" s="172">
        <f>'4a.FAnalysis'!C$16</f>
        <v>3350.2477755562795</v>
      </c>
      <c r="Q4" s="172">
        <f>'4a.FAnalysis'!C$17</f>
        <v>440.232555982581</v>
      </c>
      <c r="R4" s="172">
        <f>'4a.FAnalysis'!C$18</f>
        <v>-9.4608710033552832</v>
      </c>
      <c r="S4" s="248">
        <f>'4a.FAnalysis'!C$19</f>
        <v>0</v>
      </c>
      <c r="T4" s="248">
        <f>'4a.FAnalysis'!C$20</f>
        <v>-3781.019460535505</v>
      </c>
    </row>
    <row r="5" spans="1:20" x14ac:dyDescent="0.55000000000000004">
      <c r="B5" s="408" t="s">
        <v>0</v>
      </c>
      <c r="C5" s="240">
        <v>1</v>
      </c>
      <c r="D5" s="242">
        <f>'4a.FAnalysis'!D$4</f>
        <v>197.83919999999995</v>
      </c>
      <c r="E5" s="200">
        <f>'4a.FAnalysis'!D$5</f>
        <v>197.83919999999995</v>
      </c>
      <c r="F5" s="38">
        <f>'4a.FAnalysis'!D$6</f>
        <v>0</v>
      </c>
      <c r="G5" s="316" t="s">
        <v>31</v>
      </c>
      <c r="H5" s="242">
        <f>'4a.FAnalysis'!D$8</f>
        <v>0</v>
      </c>
      <c r="I5" s="242">
        <f>'4a.FAnalysis'!D$9</f>
        <v>-197.83919999999995</v>
      </c>
      <c r="J5" s="38"/>
      <c r="K5" s="251">
        <f>'4a.FAnalysis'!D$11</f>
        <v>0.89285714285714279</v>
      </c>
      <c r="L5" s="38"/>
      <c r="M5" s="408" t="s">
        <v>0</v>
      </c>
      <c r="N5" s="240">
        <v>1</v>
      </c>
      <c r="O5" s="242">
        <f>'4a.FAnalysis'!D$15</f>
        <v>176.6421428571428</v>
      </c>
      <c r="P5" s="38">
        <f>'4a.FAnalysis'!D$16</f>
        <v>176.6421428571428</v>
      </c>
      <c r="Q5" s="38">
        <f>'4a.FAnalysis'!D$17</f>
        <v>0</v>
      </c>
      <c r="R5" s="316" t="s">
        <v>31</v>
      </c>
      <c r="S5" s="242">
        <f>'4a.FAnalysis'!D$19</f>
        <v>0</v>
      </c>
      <c r="T5" s="242">
        <f>'4a.FAnalysis'!D$20</f>
        <v>-176.6421428571428</v>
      </c>
    </row>
    <row r="6" spans="1:20" x14ac:dyDescent="0.55000000000000004">
      <c r="B6" s="408"/>
      <c r="C6" s="240">
        <v>2</v>
      </c>
      <c r="D6" s="242">
        <f>'4a.FAnalysis'!E$4</f>
        <v>494.5979999999999</v>
      </c>
      <c r="E6" s="200">
        <f>'4a.FAnalysis'!E$5</f>
        <v>494.5979999999999</v>
      </c>
      <c r="F6" s="38">
        <f>'4a.FAnalysis'!E$6</f>
        <v>0</v>
      </c>
      <c r="G6" s="316" t="s">
        <v>31</v>
      </c>
      <c r="H6" s="242">
        <f>'4a.FAnalysis'!E$8</f>
        <v>0</v>
      </c>
      <c r="I6" s="242">
        <f>'4a.FAnalysis'!E$9</f>
        <v>-494.5979999999999</v>
      </c>
      <c r="J6" s="38"/>
      <c r="K6" s="251">
        <f>'4a.FAnalysis'!E$11</f>
        <v>0.79719387755102034</v>
      </c>
      <c r="L6" s="38"/>
      <c r="M6" s="408"/>
      <c r="N6" s="240">
        <v>2</v>
      </c>
      <c r="O6" s="242">
        <f>'4a.FAnalysis'!E$15</f>
        <v>394.29049744897947</v>
      </c>
      <c r="P6" s="38">
        <f>'4a.FAnalysis'!E$16</f>
        <v>394.29049744897947</v>
      </c>
      <c r="Q6" s="38">
        <f>'4a.FAnalysis'!E$17</f>
        <v>0</v>
      </c>
      <c r="R6" s="316" t="s">
        <v>31</v>
      </c>
      <c r="S6" s="242">
        <f>'4a.FAnalysis'!E$19</f>
        <v>0</v>
      </c>
      <c r="T6" s="242">
        <f>'4a.FAnalysis'!E$20</f>
        <v>-394.29049744897947</v>
      </c>
    </row>
    <row r="7" spans="1:20" x14ac:dyDescent="0.55000000000000004">
      <c r="B7" s="408"/>
      <c r="C7" s="240">
        <v>3</v>
      </c>
      <c r="D7" s="242">
        <f>'4a.FAnalysis'!F$4</f>
        <v>1483.7939999999996</v>
      </c>
      <c r="E7" s="200">
        <f>'4a.FAnalysis'!F$5</f>
        <v>1483.7939999999996</v>
      </c>
      <c r="F7" s="38">
        <f>'4a.FAnalysis'!F$6</f>
        <v>0</v>
      </c>
      <c r="G7" s="316" t="s">
        <v>31</v>
      </c>
      <c r="H7" s="242">
        <f>'4a.FAnalysis'!F$8</f>
        <v>0</v>
      </c>
      <c r="I7" s="242">
        <f>'4a.FAnalysis'!F$9</f>
        <v>-1483.7939999999996</v>
      </c>
      <c r="J7" s="38"/>
      <c r="K7" s="251">
        <f>'4a.FAnalysis'!F$11</f>
        <v>0.71178024781341087</v>
      </c>
      <c r="L7" s="38"/>
      <c r="M7" s="408"/>
      <c r="N7" s="240">
        <v>3</v>
      </c>
      <c r="O7" s="242">
        <f>'4a.FAnalysis'!F$15</f>
        <v>1056.1352610240519</v>
      </c>
      <c r="P7" s="38">
        <f>'4a.FAnalysis'!F$16</f>
        <v>1056.1352610240519</v>
      </c>
      <c r="Q7" s="38">
        <f>'4a.FAnalysis'!F$17</f>
        <v>0</v>
      </c>
      <c r="R7" s="316" t="s">
        <v>31</v>
      </c>
      <c r="S7" s="242">
        <f>'4a.FAnalysis'!F$19</f>
        <v>0</v>
      </c>
      <c r="T7" s="242">
        <f>'4a.FAnalysis'!F$20</f>
        <v>-1056.1352610240519</v>
      </c>
    </row>
    <row r="8" spans="1:20" x14ac:dyDescent="0.55000000000000004">
      <c r="B8" s="408"/>
      <c r="C8" s="240">
        <v>4</v>
      </c>
      <c r="D8" s="242">
        <f>'4a.FAnalysis'!G$4</f>
        <v>2225.6909999999998</v>
      </c>
      <c r="E8" s="200">
        <f>'4a.FAnalysis'!G$5</f>
        <v>2225.6909999999998</v>
      </c>
      <c r="F8" s="38">
        <f>'4a.FAnalysis'!G$6</f>
        <v>0</v>
      </c>
      <c r="G8" s="316" t="s">
        <v>31</v>
      </c>
      <c r="H8" s="242">
        <f>'4a.FAnalysis'!G$8</f>
        <v>0</v>
      </c>
      <c r="I8" s="242">
        <f>'4a.FAnalysis'!G$9</f>
        <v>-2225.6909999999998</v>
      </c>
      <c r="J8" s="38"/>
      <c r="K8" s="251">
        <f>'4a.FAnalysis'!G$11</f>
        <v>0.63551807840483121</v>
      </c>
      <c r="L8" s="38"/>
      <c r="M8" s="408"/>
      <c r="N8" s="240">
        <v>4</v>
      </c>
      <c r="O8" s="242">
        <f>'4a.FAnalysis'!G$15</f>
        <v>1414.466867442927</v>
      </c>
      <c r="P8" s="38">
        <f>'4a.FAnalysis'!G$16</f>
        <v>1414.466867442927</v>
      </c>
      <c r="Q8" s="38">
        <f>'4a.FAnalysis'!G$17</f>
        <v>0</v>
      </c>
      <c r="R8" s="316" t="s">
        <v>31</v>
      </c>
      <c r="S8" s="242">
        <f>'4a.FAnalysis'!G$19</f>
        <v>0</v>
      </c>
      <c r="T8" s="242">
        <f>'4a.FAnalysis'!G$20</f>
        <v>-1414.466867442927</v>
      </c>
    </row>
    <row r="9" spans="1:20" x14ac:dyDescent="0.55000000000000004">
      <c r="B9" s="408"/>
      <c r="C9" s="240">
        <v>5</v>
      </c>
      <c r="D9" s="242">
        <f>'4a.FAnalysis'!H$4</f>
        <v>544.05779999999982</v>
      </c>
      <c r="E9" s="200">
        <f>'4a.FAnalysis'!H$5</f>
        <v>544.05779999999982</v>
      </c>
      <c r="F9" s="38">
        <f>'4a.FAnalysis'!H$6</f>
        <v>0</v>
      </c>
      <c r="G9" s="316" t="s">
        <v>31</v>
      </c>
      <c r="H9" s="242">
        <f>'4a.FAnalysis'!H$8</f>
        <v>0</v>
      </c>
      <c r="I9" s="242">
        <f>'4a.FAnalysis'!H$9</f>
        <v>-544.05779999999982</v>
      </c>
      <c r="J9" s="38"/>
      <c r="K9" s="251">
        <f>'4a.FAnalysis'!H$11</f>
        <v>0.56742685571859919</v>
      </c>
      <c r="L9" s="38"/>
      <c r="M9" s="408"/>
      <c r="N9" s="240">
        <v>5</v>
      </c>
      <c r="O9" s="242">
        <f>'4a.FAnalysis'!H$15</f>
        <v>308.7130067831784</v>
      </c>
      <c r="P9" s="38">
        <f>'4a.FAnalysis'!H$16</f>
        <v>308.7130067831784</v>
      </c>
      <c r="Q9" s="38">
        <f>'4a.FAnalysis'!H$17</f>
        <v>0</v>
      </c>
      <c r="R9" s="316" t="s">
        <v>31</v>
      </c>
      <c r="S9" s="242">
        <f>'4a.FAnalysis'!H$19</f>
        <v>0</v>
      </c>
      <c r="T9" s="242">
        <f>'4a.FAnalysis'!H$20</f>
        <v>-308.7130067831784</v>
      </c>
    </row>
    <row r="10" spans="1:20" x14ac:dyDescent="0.55000000000000004">
      <c r="B10" s="408"/>
      <c r="C10" s="240">
        <v>6</v>
      </c>
      <c r="D10" s="242">
        <f>'4a.FAnalysis'!I$4</f>
        <v>98.919599999999988</v>
      </c>
      <c r="E10" s="317" t="str">
        <f>'4a.FAnalysis'!I$5</f>
        <v>--</v>
      </c>
      <c r="F10" s="201">
        <f>'4a.FAnalysis'!I$6</f>
        <v>98.919599999999988</v>
      </c>
      <c r="G10" s="316" t="s">
        <v>31</v>
      </c>
      <c r="H10" s="247">
        <f>'4a.FAnalysis'!I$8</f>
        <v>0</v>
      </c>
      <c r="I10" s="242">
        <f>'4a.FAnalysis'!I$9</f>
        <v>-98.919599999999988</v>
      </c>
      <c r="J10" s="38"/>
      <c r="K10" s="251">
        <f>'4a.FAnalysis'!I$11</f>
        <v>0.50663112117732068</v>
      </c>
      <c r="L10" s="38"/>
      <c r="M10" s="408"/>
      <c r="N10" s="240">
        <v>6</v>
      </c>
      <c r="O10" s="242">
        <f>'4a.FAnalysis'!I$15</f>
        <v>50.115747854412085</v>
      </c>
      <c r="P10" s="317" t="str">
        <f>'4a.FAnalysis'!I$16</f>
        <v>--</v>
      </c>
      <c r="Q10" s="38">
        <f>'4a.FAnalysis'!I$17</f>
        <v>50.115747854412085</v>
      </c>
      <c r="R10" s="316" t="s">
        <v>31</v>
      </c>
      <c r="S10" s="242">
        <f>'4a.FAnalysis'!I$19</f>
        <v>0</v>
      </c>
      <c r="T10" s="242">
        <f>'4a.FAnalysis'!I$20</f>
        <v>-50.115747854412085</v>
      </c>
    </row>
    <row r="11" spans="1:20" x14ac:dyDescent="0.55000000000000004">
      <c r="B11" s="408"/>
      <c r="C11" s="240">
        <v>7</v>
      </c>
      <c r="D11" s="242">
        <f>'4a.FAnalysis'!J$4</f>
        <v>98.919599999999988</v>
      </c>
      <c r="E11" s="317" t="str">
        <f>'4a.FAnalysis'!J$5</f>
        <v>--</v>
      </c>
      <c r="F11" s="201">
        <f>'4a.FAnalysis'!J$6</f>
        <v>98.919599999999988</v>
      </c>
      <c r="G11" s="316" t="s">
        <v>31</v>
      </c>
      <c r="H11" s="247">
        <f>'4a.FAnalysis'!J$8</f>
        <v>0</v>
      </c>
      <c r="I11" s="242">
        <f>'4a.FAnalysis'!J$9</f>
        <v>-98.919599999999988</v>
      </c>
      <c r="J11" s="38"/>
      <c r="K11" s="251">
        <f>'4a.FAnalysis'!J$11</f>
        <v>0.45234921533689343</v>
      </c>
      <c r="L11" s="38"/>
      <c r="M11" s="408"/>
      <c r="N11" s="240">
        <v>7</v>
      </c>
      <c r="O11" s="242">
        <f>'4a.FAnalysis'!J$15</f>
        <v>44.746203441439356</v>
      </c>
      <c r="P11" s="317" t="str">
        <f>'4a.FAnalysis'!J$16</f>
        <v>--</v>
      </c>
      <c r="Q11" s="38">
        <f>'4a.FAnalysis'!J$17</f>
        <v>44.746203441439356</v>
      </c>
      <c r="R11" s="316" t="s">
        <v>31</v>
      </c>
      <c r="S11" s="242">
        <f>'4a.FAnalysis'!J$19</f>
        <v>0</v>
      </c>
      <c r="T11" s="242">
        <f>'4a.FAnalysis'!J$20</f>
        <v>-44.746203441439356</v>
      </c>
    </row>
    <row r="12" spans="1:20" x14ac:dyDescent="0.55000000000000004">
      <c r="B12" s="408"/>
      <c r="C12" s="240">
        <v>8</v>
      </c>
      <c r="D12" s="242">
        <f>'4a.FAnalysis'!K$4</f>
        <v>98.919599999999988</v>
      </c>
      <c r="E12" s="317" t="str">
        <f>'4a.FAnalysis'!K$5</f>
        <v>--</v>
      </c>
      <c r="F12" s="201">
        <f>'4a.FAnalysis'!K$6</f>
        <v>98.919599999999988</v>
      </c>
      <c r="G12" s="316" t="s">
        <v>31</v>
      </c>
      <c r="H12" s="247">
        <f>'4a.FAnalysis'!K$8</f>
        <v>0</v>
      </c>
      <c r="I12" s="242">
        <f>'4a.FAnalysis'!K$9</f>
        <v>-98.919599999999988</v>
      </c>
      <c r="J12" s="38"/>
      <c r="K12" s="251">
        <f>'4a.FAnalysis'!K$11</f>
        <v>0.4038832279793691</v>
      </c>
      <c r="L12" s="38"/>
      <c r="M12" s="408"/>
      <c r="N12" s="240">
        <v>8</v>
      </c>
      <c r="O12" s="242">
        <f>'4a.FAnalysis'!K$15</f>
        <v>39.951967358427993</v>
      </c>
      <c r="P12" s="317" t="str">
        <f>'4a.FAnalysis'!K$16</f>
        <v>--</v>
      </c>
      <c r="Q12" s="38">
        <f>'4a.FAnalysis'!K$17</f>
        <v>39.951967358427993</v>
      </c>
      <c r="R12" s="316" t="s">
        <v>31</v>
      </c>
      <c r="S12" s="242">
        <f>'4a.FAnalysis'!K$19</f>
        <v>0</v>
      </c>
      <c r="T12" s="242">
        <f>'4a.FAnalysis'!K$20</f>
        <v>-39.951967358427993</v>
      </c>
    </row>
    <row r="13" spans="1:20" x14ac:dyDescent="0.55000000000000004">
      <c r="B13" s="408"/>
      <c r="C13" s="240">
        <v>9</v>
      </c>
      <c r="D13" s="242">
        <f>'4a.FAnalysis'!L$4</f>
        <v>98.919599999999988</v>
      </c>
      <c r="E13" s="317" t="str">
        <f>'4a.FAnalysis'!L$5</f>
        <v>--</v>
      </c>
      <c r="F13" s="201">
        <f>'4a.FAnalysis'!L$6</f>
        <v>98.919599999999988</v>
      </c>
      <c r="G13" s="316" t="s">
        <v>31</v>
      </c>
      <c r="H13" s="247">
        <f>'4a.FAnalysis'!L$8</f>
        <v>0</v>
      </c>
      <c r="I13" s="242">
        <f>'4a.FAnalysis'!L$9</f>
        <v>-98.919599999999988</v>
      </c>
      <c r="J13" s="38"/>
      <c r="K13" s="251">
        <f>'4a.FAnalysis'!L$11</f>
        <v>0.36061002498157957</v>
      </c>
      <c r="L13" s="38"/>
      <c r="M13" s="408"/>
      <c r="N13" s="240">
        <v>9</v>
      </c>
      <c r="O13" s="242">
        <f>'4a.FAnalysis'!L$15</f>
        <v>35.671399427167856</v>
      </c>
      <c r="P13" s="317" t="str">
        <f>'4a.FAnalysis'!L$16</f>
        <v>--</v>
      </c>
      <c r="Q13" s="38">
        <f>'4a.FAnalysis'!L$17</f>
        <v>35.671399427167856</v>
      </c>
      <c r="R13" s="316" t="s">
        <v>31</v>
      </c>
      <c r="S13" s="242">
        <f>'4a.FAnalysis'!L$19</f>
        <v>0</v>
      </c>
      <c r="T13" s="242">
        <f>'4a.FAnalysis'!L$20</f>
        <v>-35.671399427167856</v>
      </c>
    </row>
    <row r="14" spans="1:20" x14ac:dyDescent="0.55000000000000004">
      <c r="B14" s="408"/>
      <c r="C14" s="240">
        <v>10</v>
      </c>
      <c r="D14" s="242">
        <f>'4a.FAnalysis'!M$4</f>
        <v>98.919599999999988</v>
      </c>
      <c r="E14" s="317" t="str">
        <f>'4a.FAnalysis'!M$5</f>
        <v>--</v>
      </c>
      <c r="F14" s="201">
        <f>'4a.FAnalysis'!M$6</f>
        <v>98.919599999999988</v>
      </c>
      <c r="G14" s="316" t="s">
        <v>31</v>
      </c>
      <c r="H14" s="247">
        <f>'4a.FAnalysis'!M$8</f>
        <v>0</v>
      </c>
      <c r="I14" s="242">
        <f>'4a.FAnalysis'!M$9</f>
        <v>-98.919599999999988</v>
      </c>
      <c r="J14" s="38"/>
      <c r="K14" s="251">
        <f>'4a.FAnalysis'!M$11</f>
        <v>0.32197323659069599</v>
      </c>
      <c r="L14" s="38"/>
      <c r="M14" s="408"/>
      <c r="N14" s="240">
        <v>10</v>
      </c>
      <c r="O14" s="242">
        <f>'4a.FAnalysis'!M$15</f>
        <v>31.849463774257007</v>
      </c>
      <c r="P14" s="317" t="str">
        <f>'4a.FAnalysis'!M$16</f>
        <v>--</v>
      </c>
      <c r="Q14" s="38">
        <f>'4a.FAnalysis'!M$17</f>
        <v>31.849463774257007</v>
      </c>
      <c r="R14" s="316" t="s">
        <v>31</v>
      </c>
      <c r="S14" s="242">
        <f>'4a.FAnalysis'!M$19</f>
        <v>0</v>
      </c>
      <c r="T14" s="242">
        <f>'4a.FAnalysis'!M$20</f>
        <v>-31.849463774257007</v>
      </c>
    </row>
    <row r="15" spans="1:20" x14ac:dyDescent="0.55000000000000004">
      <c r="B15" s="408"/>
      <c r="C15" s="240">
        <v>11</v>
      </c>
      <c r="D15" s="242">
        <f>'4a.FAnalysis'!N$4</f>
        <v>98.919599999999988</v>
      </c>
      <c r="E15" s="317" t="str">
        <f>'4a.FAnalysis'!N$5</f>
        <v>--</v>
      </c>
      <c r="F15" s="201">
        <f>'4a.FAnalysis'!N$6</f>
        <v>98.919599999999988</v>
      </c>
      <c r="G15" s="316" t="s">
        <v>31</v>
      </c>
      <c r="H15" s="247">
        <f>'4a.FAnalysis'!N$8</f>
        <v>0</v>
      </c>
      <c r="I15" s="242">
        <f>'4a.FAnalysis'!N$9</f>
        <v>-98.919599999999988</v>
      </c>
      <c r="J15" s="38"/>
      <c r="K15" s="251">
        <f>'4a.FAnalysis'!N$11</f>
        <v>0.28747610409883567</v>
      </c>
      <c r="L15" s="38"/>
      <c r="M15" s="408"/>
      <c r="N15" s="240">
        <v>11</v>
      </c>
      <c r="O15" s="242">
        <f>'4a.FAnalysis'!N$15</f>
        <v>28.437021227015183</v>
      </c>
      <c r="P15" s="317" t="str">
        <f>'4a.FAnalysis'!N$16</f>
        <v>--</v>
      </c>
      <c r="Q15" s="38">
        <f>'4a.FAnalysis'!N$17</f>
        <v>28.437021227015183</v>
      </c>
      <c r="R15" s="316" t="s">
        <v>31</v>
      </c>
      <c r="S15" s="242">
        <f>'4a.FAnalysis'!N$19</f>
        <v>0</v>
      </c>
      <c r="T15" s="242">
        <f>'4a.FAnalysis'!N$20</f>
        <v>-28.437021227015183</v>
      </c>
    </row>
    <row r="16" spans="1:20" x14ac:dyDescent="0.55000000000000004">
      <c r="B16" s="408"/>
      <c r="C16" s="240">
        <v>12</v>
      </c>
      <c r="D16" s="242">
        <f>'4a.FAnalysis'!O$4</f>
        <v>98.919599999999988</v>
      </c>
      <c r="E16" s="317" t="str">
        <f>'4a.FAnalysis'!O$5</f>
        <v>--</v>
      </c>
      <c r="F16" s="201">
        <f>'4a.FAnalysis'!O$6</f>
        <v>98.919599999999988</v>
      </c>
      <c r="G16" s="316" t="s">
        <v>31</v>
      </c>
      <c r="H16" s="247">
        <f>'4a.FAnalysis'!O$8</f>
        <v>0</v>
      </c>
      <c r="I16" s="242">
        <f>'4a.FAnalysis'!O$9</f>
        <v>-98.919599999999988</v>
      </c>
      <c r="J16" s="38"/>
      <c r="K16" s="251">
        <f>'4a.FAnalysis'!O$11</f>
        <v>0.25667509294538904</v>
      </c>
      <c r="L16" s="38"/>
      <c r="M16" s="408"/>
      <c r="N16" s="240">
        <v>12</v>
      </c>
      <c r="O16" s="242">
        <f>'4a.FAnalysis'!O$15</f>
        <v>25.390197524120701</v>
      </c>
      <c r="P16" s="317" t="str">
        <f>'4a.FAnalysis'!O$16</f>
        <v>--</v>
      </c>
      <c r="Q16" s="38">
        <f>'4a.FAnalysis'!O$17</f>
        <v>25.390197524120701</v>
      </c>
      <c r="R16" s="316" t="s">
        <v>31</v>
      </c>
      <c r="S16" s="242">
        <f>'4a.FAnalysis'!O$19</f>
        <v>0</v>
      </c>
      <c r="T16" s="242">
        <f>'4a.FAnalysis'!O$20</f>
        <v>-25.390197524120701</v>
      </c>
    </row>
    <row r="17" spans="2:20" x14ac:dyDescent="0.55000000000000004">
      <c r="B17" s="408"/>
      <c r="C17" s="240">
        <v>13</v>
      </c>
      <c r="D17" s="242">
        <f>'4a.FAnalysis'!P$4</f>
        <v>98.919599999999988</v>
      </c>
      <c r="E17" s="317" t="str">
        <f>'4a.FAnalysis'!P$5</f>
        <v>--</v>
      </c>
      <c r="F17" s="201">
        <f>'4a.FAnalysis'!P$6</f>
        <v>98.919599999999988</v>
      </c>
      <c r="G17" s="316" t="s">
        <v>31</v>
      </c>
      <c r="H17" s="247">
        <f>'4a.FAnalysis'!P$8</f>
        <v>0</v>
      </c>
      <c r="I17" s="242">
        <f>'4a.FAnalysis'!P$9</f>
        <v>-98.919599999999988</v>
      </c>
      <c r="J17" s="38"/>
      <c r="K17" s="251">
        <f>'4a.FAnalysis'!P$11</f>
        <v>0.22917419012981158</v>
      </c>
      <c r="L17" s="38"/>
      <c r="M17" s="408"/>
      <c r="N17" s="240">
        <v>13</v>
      </c>
      <c r="O17" s="242">
        <f>'4a.FAnalysis'!P$15</f>
        <v>22.669819217964907</v>
      </c>
      <c r="P17" s="317" t="str">
        <f>'4a.FAnalysis'!P$16</f>
        <v>--</v>
      </c>
      <c r="Q17" s="38">
        <f>'4a.FAnalysis'!P$17</f>
        <v>22.669819217964907</v>
      </c>
      <c r="R17" s="316" t="s">
        <v>31</v>
      </c>
      <c r="S17" s="242">
        <f>'4a.FAnalysis'!P$19</f>
        <v>0</v>
      </c>
      <c r="T17" s="242">
        <f>'4a.FAnalysis'!P$20</f>
        <v>-22.669819217964907</v>
      </c>
    </row>
    <row r="18" spans="2:20" x14ac:dyDescent="0.55000000000000004">
      <c r="B18" s="408"/>
      <c r="C18" s="240">
        <v>14</v>
      </c>
      <c r="D18" s="242">
        <f>'4a.FAnalysis'!Q$4</f>
        <v>98.919599999999988</v>
      </c>
      <c r="E18" s="317" t="str">
        <f>'4a.FAnalysis'!Q$5</f>
        <v>--</v>
      </c>
      <c r="F18" s="201">
        <f>'4a.FAnalysis'!Q$6</f>
        <v>98.919599999999988</v>
      </c>
      <c r="G18" s="316" t="s">
        <v>31</v>
      </c>
      <c r="H18" s="247">
        <f>'4a.FAnalysis'!Q$8</f>
        <v>0</v>
      </c>
      <c r="I18" s="242">
        <f>'4a.FAnalysis'!Q$9</f>
        <v>-98.919599999999988</v>
      </c>
      <c r="J18" s="38"/>
      <c r="K18" s="251">
        <f>'4a.FAnalysis'!Q$11</f>
        <v>0.20461981261590317</v>
      </c>
      <c r="L18" s="38"/>
      <c r="M18" s="408"/>
      <c r="N18" s="240">
        <v>14</v>
      </c>
      <c r="O18" s="242">
        <f>'4a.FAnalysis'!Q$15</f>
        <v>20.240910016040093</v>
      </c>
      <c r="P18" s="317" t="str">
        <f>'4a.FAnalysis'!Q$16</f>
        <v>--</v>
      </c>
      <c r="Q18" s="38">
        <f>'4a.FAnalysis'!Q$17</f>
        <v>20.240910016040093</v>
      </c>
      <c r="R18" s="316" t="s">
        <v>31</v>
      </c>
      <c r="S18" s="242">
        <f>'4a.FAnalysis'!Q$19</f>
        <v>0</v>
      </c>
      <c r="T18" s="242">
        <f>'4a.FAnalysis'!Q$20</f>
        <v>-20.240910016040093</v>
      </c>
    </row>
    <row r="19" spans="2:20" x14ac:dyDescent="0.55000000000000004">
      <c r="B19" s="408"/>
      <c r="C19" s="240">
        <v>15</v>
      </c>
      <c r="D19" s="242">
        <f>'4a.FAnalysis'!R$4</f>
        <v>98.919599999999988</v>
      </c>
      <c r="E19" s="317" t="str">
        <f>'4a.FAnalysis'!R$5</f>
        <v>--</v>
      </c>
      <c r="F19" s="201">
        <f>'4a.FAnalysis'!R$6</f>
        <v>98.919599999999988</v>
      </c>
      <c r="G19" s="316" t="s">
        <v>31</v>
      </c>
      <c r="H19" s="247">
        <f>'4a.FAnalysis'!R$8</f>
        <v>0</v>
      </c>
      <c r="I19" s="242">
        <f>'4a.FAnalysis'!R$9</f>
        <v>-98.919599999999988</v>
      </c>
      <c r="J19" s="38"/>
      <c r="K19" s="251">
        <f>'4a.FAnalysis'!R$11</f>
        <v>0.18269626126419927</v>
      </c>
      <c r="L19" s="38"/>
      <c r="M19" s="408"/>
      <c r="N19" s="240">
        <v>15</v>
      </c>
      <c r="O19" s="242">
        <f>'4a.FAnalysis'!R$15</f>
        <v>18.072241085750083</v>
      </c>
      <c r="P19" s="317" t="str">
        <f>'4a.FAnalysis'!R$16</f>
        <v>--</v>
      </c>
      <c r="Q19" s="38">
        <f>'4a.FAnalysis'!R$17</f>
        <v>18.072241085750083</v>
      </c>
      <c r="R19" s="316" t="s">
        <v>31</v>
      </c>
      <c r="S19" s="242">
        <f>'4a.FAnalysis'!R$19</f>
        <v>0</v>
      </c>
      <c r="T19" s="242">
        <f>'4a.FAnalysis'!R$20</f>
        <v>-18.072241085750083</v>
      </c>
    </row>
    <row r="20" spans="2:20" x14ac:dyDescent="0.55000000000000004">
      <c r="B20" s="408"/>
      <c r="C20" s="240">
        <v>16</v>
      </c>
      <c r="D20" s="242">
        <f>'4a.FAnalysis'!S$4</f>
        <v>98.919599999999988</v>
      </c>
      <c r="E20" s="317" t="str">
        <f>'4a.FAnalysis'!S$5</f>
        <v>--</v>
      </c>
      <c r="F20" s="201">
        <f>'4a.FAnalysis'!S$6</f>
        <v>98.919599999999988</v>
      </c>
      <c r="G20" s="316" t="s">
        <v>31</v>
      </c>
      <c r="H20" s="247">
        <f>'4a.FAnalysis'!S$8</f>
        <v>0</v>
      </c>
      <c r="I20" s="242">
        <f>'4a.FAnalysis'!S$9</f>
        <v>-98.919599999999988</v>
      </c>
      <c r="J20" s="38"/>
      <c r="K20" s="251">
        <f>'4a.FAnalysis'!S$11</f>
        <v>0.16312166184303503</v>
      </c>
      <c r="L20" s="38"/>
      <c r="M20" s="408"/>
      <c r="N20" s="240">
        <v>16</v>
      </c>
      <c r="O20" s="242">
        <f>'4a.FAnalysis'!S$15</f>
        <v>16.135929540848288</v>
      </c>
      <c r="P20" s="317" t="str">
        <f>'4a.FAnalysis'!S$16</f>
        <v>--</v>
      </c>
      <c r="Q20" s="38">
        <f>'4a.FAnalysis'!S$17</f>
        <v>16.135929540848288</v>
      </c>
      <c r="R20" s="316" t="s">
        <v>31</v>
      </c>
      <c r="S20" s="242">
        <f>'4a.FAnalysis'!S$19</f>
        <v>0</v>
      </c>
      <c r="T20" s="242">
        <f>'4a.FAnalysis'!S$20</f>
        <v>-16.135929540848288</v>
      </c>
    </row>
    <row r="21" spans="2:20" x14ac:dyDescent="0.55000000000000004">
      <c r="B21" s="408"/>
      <c r="C21" s="240">
        <v>17</v>
      </c>
      <c r="D21" s="242">
        <f>'4a.FAnalysis'!T$4</f>
        <v>98.919599999999988</v>
      </c>
      <c r="E21" s="317" t="str">
        <f>'4a.FAnalysis'!T$5</f>
        <v>--</v>
      </c>
      <c r="F21" s="201">
        <f>'4a.FAnalysis'!T$6</f>
        <v>98.919599999999988</v>
      </c>
      <c r="G21" s="316" t="s">
        <v>31</v>
      </c>
      <c r="H21" s="247">
        <f>'4a.FAnalysis'!T$8</f>
        <v>0</v>
      </c>
      <c r="I21" s="242">
        <f>'4a.FAnalysis'!T$9</f>
        <v>-98.919599999999988</v>
      </c>
      <c r="J21" s="38"/>
      <c r="K21" s="251">
        <f>'4a.FAnalysis'!T$11</f>
        <v>0.14564434093128129</v>
      </c>
      <c r="L21" s="38"/>
      <c r="M21" s="408"/>
      <c r="N21" s="240">
        <v>17</v>
      </c>
      <c r="O21" s="242">
        <f>'4a.FAnalysis'!T$15</f>
        <v>14.40707994718597</v>
      </c>
      <c r="P21" s="317" t="str">
        <f>'4a.FAnalysis'!T$16</f>
        <v>--</v>
      </c>
      <c r="Q21" s="38">
        <f>'4a.FAnalysis'!T$17</f>
        <v>14.40707994718597</v>
      </c>
      <c r="R21" s="316" t="s">
        <v>31</v>
      </c>
      <c r="S21" s="242">
        <f>'4a.FAnalysis'!T$19</f>
        <v>0</v>
      </c>
      <c r="T21" s="242">
        <f>'4a.FAnalysis'!T$20</f>
        <v>-14.40707994718597</v>
      </c>
    </row>
    <row r="22" spans="2:20" x14ac:dyDescent="0.55000000000000004">
      <c r="B22" s="408"/>
      <c r="C22" s="240">
        <v>18</v>
      </c>
      <c r="D22" s="242">
        <f>'4a.FAnalysis'!U$4</f>
        <v>98.919599999999988</v>
      </c>
      <c r="E22" s="317" t="str">
        <f>'4a.FAnalysis'!U$5</f>
        <v>--</v>
      </c>
      <c r="F22" s="201">
        <f>'4a.FAnalysis'!U$6</f>
        <v>98.919599999999988</v>
      </c>
      <c r="G22" s="316" t="s">
        <v>31</v>
      </c>
      <c r="H22" s="247">
        <f>'4a.FAnalysis'!U$8</f>
        <v>0</v>
      </c>
      <c r="I22" s="242">
        <f>'4a.FAnalysis'!U$9</f>
        <v>-98.919599999999988</v>
      </c>
      <c r="J22" s="38"/>
      <c r="K22" s="251">
        <f>'4a.FAnalysis'!U$11</f>
        <v>0.13003959011721541</v>
      </c>
      <c r="L22" s="38"/>
      <c r="M22" s="408"/>
      <c r="N22" s="240">
        <v>18</v>
      </c>
      <c r="O22" s="242">
        <f>'4a.FAnalysis'!U$15</f>
        <v>12.863464238558901</v>
      </c>
      <c r="P22" s="317" t="str">
        <f>'4a.FAnalysis'!U$16</f>
        <v>--</v>
      </c>
      <c r="Q22" s="38">
        <f>'4a.FAnalysis'!U$17</f>
        <v>12.863464238558901</v>
      </c>
      <c r="R22" s="316" t="s">
        <v>31</v>
      </c>
      <c r="S22" s="242">
        <f>'4a.FAnalysis'!U$19</f>
        <v>0</v>
      </c>
      <c r="T22" s="242">
        <f>'4a.FAnalysis'!U$20</f>
        <v>-12.863464238558901</v>
      </c>
    </row>
    <row r="23" spans="2:20" x14ac:dyDescent="0.55000000000000004">
      <c r="B23" s="408"/>
      <c r="C23" s="240">
        <v>19</v>
      </c>
      <c r="D23" s="242">
        <f>'4a.FAnalysis'!V$4</f>
        <v>98.919599999999988</v>
      </c>
      <c r="E23" s="317" t="str">
        <f>'4a.FAnalysis'!V$5</f>
        <v>--</v>
      </c>
      <c r="F23" s="201">
        <f>'4a.FAnalysis'!V$6</f>
        <v>98.919599999999988</v>
      </c>
      <c r="G23" s="316" t="s">
        <v>31</v>
      </c>
      <c r="H23" s="247">
        <f>'4a.FAnalysis'!V$8</f>
        <v>0</v>
      </c>
      <c r="I23" s="242">
        <f>'4a.FAnalysis'!V$9</f>
        <v>-98.919599999999988</v>
      </c>
      <c r="J23" s="38"/>
      <c r="K23" s="251">
        <f>'4a.FAnalysis'!V$11</f>
        <v>0.1161067768903709</v>
      </c>
      <c r="L23" s="38"/>
      <c r="M23" s="408"/>
      <c r="N23" s="240">
        <v>19</v>
      </c>
      <c r="O23" s="242">
        <f>'4a.FAnalysis'!V$15</f>
        <v>11.485235927284732</v>
      </c>
      <c r="P23" s="317" t="str">
        <f>'4a.FAnalysis'!V$16</f>
        <v>--</v>
      </c>
      <c r="Q23" s="38">
        <f>'4a.FAnalysis'!V$17</f>
        <v>11.485235927284732</v>
      </c>
      <c r="R23" s="316" t="s">
        <v>31</v>
      </c>
      <c r="S23" s="242">
        <f>'4a.FAnalysis'!V$19</f>
        <v>0</v>
      </c>
      <c r="T23" s="242">
        <f>'4a.FAnalysis'!V$20</f>
        <v>-11.485235927284732</v>
      </c>
    </row>
    <row r="24" spans="2:20" x14ac:dyDescent="0.55000000000000004">
      <c r="B24" s="408"/>
      <c r="C24" s="240">
        <v>20</v>
      </c>
      <c r="D24" s="242">
        <f>'4a.FAnalysis'!W$4</f>
        <v>98.919599999999988</v>
      </c>
      <c r="E24" s="317" t="str">
        <f>'4a.FAnalysis'!W$5</f>
        <v>--</v>
      </c>
      <c r="F24" s="201">
        <f>'4a.FAnalysis'!W$6</f>
        <v>98.919599999999988</v>
      </c>
      <c r="G24" s="316" t="s">
        <v>31</v>
      </c>
      <c r="H24" s="247">
        <f>'4a.FAnalysis'!W$8</f>
        <v>0</v>
      </c>
      <c r="I24" s="242">
        <f>'4a.FAnalysis'!W$9</f>
        <v>-98.919599999999988</v>
      </c>
      <c r="J24" s="38"/>
      <c r="K24" s="251">
        <f>'4a.FAnalysis'!W$11</f>
        <v>0.1036667650806883</v>
      </c>
      <c r="L24" s="38"/>
      <c r="M24" s="408"/>
      <c r="N24" s="240">
        <v>20</v>
      </c>
      <c r="O24" s="242">
        <f>'4a.FAnalysis'!W$15</f>
        <v>10.254674935075652</v>
      </c>
      <c r="P24" s="317" t="str">
        <f>'4a.FAnalysis'!W$16</f>
        <v>--</v>
      </c>
      <c r="Q24" s="38">
        <f>'4a.FAnalysis'!W$17</f>
        <v>10.254674935075652</v>
      </c>
      <c r="R24" s="316" t="s">
        <v>31</v>
      </c>
      <c r="S24" s="242">
        <f>'4a.FAnalysis'!W$19</f>
        <v>0</v>
      </c>
      <c r="T24" s="242">
        <f>'4a.FAnalysis'!W$20</f>
        <v>-10.254674935075652</v>
      </c>
    </row>
    <row r="25" spans="2:20" x14ac:dyDescent="0.55000000000000004">
      <c r="B25" s="408"/>
      <c r="C25" s="240">
        <v>21</v>
      </c>
      <c r="D25" s="242">
        <f>'4a.FAnalysis'!X$4</f>
        <v>98.919599999999988</v>
      </c>
      <c r="E25" s="317" t="str">
        <f>'4a.FAnalysis'!X$5</f>
        <v>--</v>
      </c>
      <c r="F25" s="201">
        <f>'4a.FAnalysis'!X$6</f>
        <v>98.919599999999988</v>
      </c>
      <c r="G25" s="316" t="s">
        <v>31</v>
      </c>
      <c r="H25" s="247">
        <f>'4a.FAnalysis'!X$8</f>
        <v>0</v>
      </c>
      <c r="I25" s="242">
        <f>'4a.FAnalysis'!X$9</f>
        <v>-98.919599999999988</v>
      </c>
      <c r="J25" s="38"/>
      <c r="K25" s="251">
        <f>'4a.FAnalysis'!X$11</f>
        <v>9.2559611679185971E-2</v>
      </c>
      <c r="L25" s="38"/>
      <c r="M25" s="408"/>
      <c r="N25" s="240">
        <v>21</v>
      </c>
      <c r="O25" s="242">
        <f>'4a.FAnalysis'!X$15</f>
        <v>9.1559597634604035</v>
      </c>
      <c r="P25" s="317" t="str">
        <f>'4a.FAnalysis'!X$16</f>
        <v>--</v>
      </c>
      <c r="Q25" s="38">
        <f>'4a.FAnalysis'!X$17</f>
        <v>9.1559597634604035</v>
      </c>
      <c r="R25" s="316" t="s">
        <v>31</v>
      </c>
      <c r="S25" s="242">
        <f>'4a.FAnalysis'!X$19</f>
        <v>0</v>
      </c>
      <c r="T25" s="242">
        <f>'4a.FAnalysis'!X$20</f>
        <v>-9.1559597634604035</v>
      </c>
    </row>
    <row r="26" spans="2:20" x14ac:dyDescent="0.55000000000000004">
      <c r="B26" s="408"/>
      <c r="C26" s="240">
        <v>22</v>
      </c>
      <c r="D26" s="242">
        <f>'4a.FAnalysis'!Y$4</f>
        <v>98.919599999999988</v>
      </c>
      <c r="E26" s="317" t="str">
        <f>'4a.FAnalysis'!Y$5</f>
        <v>--</v>
      </c>
      <c r="F26" s="201">
        <f>'4a.FAnalysis'!Y$6</f>
        <v>98.919599999999988</v>
      </c>
      <c r="G26" s="316" t="s">
        <v>31</v>
      </c>
      <c r="H26" s="247">
        <f>'4a.FAnalysis'!Y$8</f>
        <v>0</v>
      </c>
      <c r="I26" s="242">
        <f>'4a.FAnalysis'!Y$9</f>
        <v>-98.919599999999988</v>
      </c>
      <c r="J26" s="38"/>
      <c r="K26" s="251">
        <f>'4a.FAnalysis'!Y$11</f>
        <v>8.2642510427844609E-2</v>
      </c>
      <c r="L26" s="38"/>
      <c r="M26" s="408"/>
      <c r="N26" s="240">
        <v>22</v>
      </c>
      <c r="O26" s="242">
        <f>'4a.FAnalysis'!Y$15</f>
        <v>8.1749640745182166</v>
      </c>
      <c r="P26" s="317" t="str">
        <f>'4a.FAnalysis'!Y$16</f>
        <v>--</v>
      </c>
      <c r="Q26" s="38">
        <f>'4a.FAnalysis'!Y$17</f>
        <v>8.1749640745182166</v>
      </c>
      <c r="R26" s="316" t="s">
        <v>31</v>
      </c>
      <c r="S26" s="242">
        <f>'4a.FAnalysis'!Y$19</f>
        <v>0</v>
      </c>
      <c r="T26" s="242">
        <f>'4a.FAnalysis'!Y$20</f>
        <v>-8.1749640745182166</v>
      </c>
    </row>
    <row r="27" spans="2:20" x14ac:dyDescent="0.55000000000000004">
      <c r="B27" s="408"/>
      <c r="C27" s="240">
        <v>23</v>
      </c>
      <c r="D27" s="242">
        <f>'4a.FAnalysis'!Z$4</f>
        <v>98.919599999999988</v>
      </c>
      <c r="E27" s="317" t="str">
        <f>'4a.FAnalysis'!Z$5</f>
        <v>--</v>
      </c>
      <c r="F27" s="201">
        <f>'4a.FAnalysis'!Z$6</f>
        <v>98.919599999999988</v>
      </c>
      <c r="G27" s="316" t="s">
        <v>31</v>
      </c>
      <c r="H27" s="247">
        <f>'4a.FAnalysis'!Z$8</f>
        <v>0</v>
      </c>
      <c r="I27" s="242">
        <f>'4a.FAnalysis'!Z$9</f>
        <v>-98.919599999999988</v>
      </c>
      <c r="J27" s="38"/>
      <c r="K27" s="251">
        <f>'4a.FAnalysis'!Z$11</f>
        <v>7.3787955739146982E-2</v>
      </c>
      <c r="L27" s="38"/>
      <c r="M27" s="408"/>
      <c r="N27" s="240">
        <v>23</v>
      </c>
      <c r="O27" s="242">
        <f>'4a.FAnalysis'!Z$15</f>
        <v>7.2990750665341233</v>
      </c>
      <c r="P27" s="317" t="str">
        <f>'4a.FAnalysis'!Z$16</f>
        <v>--</v>
      </c>
      <c r="Q27" s="38">
        <f>'4a.FAnalysis'!Z$17</f>
        <v>7.2990750665341233</v>
      </c>
      <c r="R27" s="316" t="s">
        <v>31</v>
      </c>
      <c r="S27" s="242">
        <f>'4a.FAnalysis'!Z$19</f>
        <v>0</v>
      </c>
      <c r="T27" s="242">
        <f>'4a.FAnalysis'!Z$20</f>
        <v>-7.2990750665341233</v>
      </c>
    </row>
    <row r="28" spans="2:20" x14ac:dyDescent="0.55000000000000004">
      <c r="B28" s="408"/>
      <c r="C28" s="240">
        <v>24</v>
      </c>
      <c r="D28" s="242">
        <f>'4a.FAnalysis'!AA$4</f>
        <v>98.919599999999988</v>
      </c>
      <c r="E28" s="317" t="str">
        <f>'4a.FAnalysis'!AA$5</f>
        <v>--</v>
      </c>
      <c r="F28" s="201">
        <f>'4a.FAnalysis'!AA$6</f>
        <v>98.919599999999988</v>
      </c>
      <c r="G28" s="316" t="s">
        <v>31</v>
      </c>
      <c r="H28" s="247">
        <f>'4a.FAnalysis'!AA$8</f>
        <v>0</v>
      </c>
      <c r="I28" s="242">
        <f>'4a.FAnalysis'!AA$9</f>
        <v>-98.919599999999988</v>
      </c>
      <c r="J28" s="38"/>
      <c r="K28" s="251">
        <f>'4a.FAnalysis'!AA$11</f>
        <v>6.5882103338524081E-2</v>
      </c>
      <c r="L28" s="38"/>
      <c r="M28" s="408"/>
      <c r="N28" s="240">
        <v>24</v>
      </c>
      <c r="O28" s="242">
        <f>'4a.FAnalysis'!AA$15</f>
        <v>6.5170313094054659</v>
      </c>
      <c r="P28" s="317" t="str">
        <f>'4a.FAnalysis'!AA$16</f>
        <v>--</v>
      </c>
      <c r="Q28" s="38">
        <f>'4a.FAnalysis'!AA$17</f>
        <v>6.5170313094054659</v>
      </c>
      <c r="R28" s="316" t="s">
        <v>31</v>
      </c>
      <c r="S28" s="242">
        <f>'4a.FAnalysis'!AA$19</f>
        <v>0</v>
      </c>
      <c r="T28" s="242">
        <f>'4a.FAnalysis'!AA$20</f>
        <v>-6.5170313094054659</v>
      </c>
    </row>
    <row r="29" spans="2:20" x14ac:dyDescent="0.55000000000000004">
      <c r="B29" s="408"/>
      <c r="C29" s="240">
        <v>25</v>
      </c>
      <c r="D29" s="242">
        <f>'4a.FAnalysis'!AB$4</f>
        <v>98.919599999999988</v>
      </c>
      <c r="E29" s="317" t="str">
        <f>'4a.FAnalysis'!AB$5</f>
        <v>--</v>
      </c>
      <c r="F29" s="201">
        <f>'4a.FAnalysis'!AB$6</f>
        <v>98.919599999999988</v>
      </c>
      <c r="G29" s="316" t="s">
        <v>31</v>
      </c>
      <c r="H29" s="247">
        <f>'4a.FAnalysis'!AB$8</f>
        <v>0</v>
      </c>
      <c r="I29" s="242">
        <f>'4a.FAnalysis'!AB$9</f>
        <v>-98.919599999999988</v>
      </c>
      <c r="J29" s="38"/>
      <c r="K29" s="251">
        <f>'4a.FAnalysis'!AB$11</f>
        <v>5.8823306552253637E-2</v>
      </c>
      <c r="L29" s="38"/>
      <c r="M29" s="408"/>
      <c r="N29" s="240">
        <v>25</v>
      </c>
      <c r="O29" s="242">
        <f>'4a.FAnalysis'!AB$15</f>
        <v>5.8187779548263086</v>
      </c>
      <c r="P29" s="317" t="str">
        <f>'4a.FAnalysis'!AB$16</f>
        <v>--</v>
      </c>
      <c r="Q29" s="38">
        <f>'4a.FAnalysis'!AB$17</f>
        <v>5.8187779548263086</v>
      </c>
      <c r="R29" s="316" t="s">
        <v>31</v>
      </c>
      <c r="S29" s="242">
        <f>'4a.FAnalysis'!AB$19</f>
        <v>0</v>
      </c>
      <c r="T29" s="242">
        <f>'4a.FAnalysis'!AB$20</f>
        <v>-5.8187779548263086</v>
      </c>
    </row>
    <row r="30" spans="2:20" x14ac:dyDescent="0.55000000000000004">
      <c r="B30" s="408"/>
      <c r="C30" s="240">
        <v>26</v>
      </c>
      <c r="D30" s="242">
        <f>'4a.FAnalysis'!AC$4</f>
        <v>98.919599999999988</v>
      </c>
      <c r="E30" s="317" t="str">
        <f>'4a.FAnalysis'!AC$5</f>
        <v>--</v>
      </c>
      <c r="F30" s="201">
        <f>'4a.FAnalysis'!AC$6</f>
        <v>98.919599999999988</v>
      </c>
      <c r="G30" s="316" t="s">
        <v>31</v>
      </c>
      <c r="H30" s="247">
        <f>'4a.FAnalysis'!AC$8</f>
        <v>0</v>
      </c>
      <c r="I30" s="242">
        <f>'4a.FAnalysis'!AC$9</f>
        <v>-98.919599999999988</v>
      </c>
      <c r="J30" s="38"/>
      <c r="K30" s="251">
        <f>'4a.FAnalysis'!AC$11</f>
        <v>5.2520809421655032E-2</v>
      </c>
      <c r="L30" s="38"/>
      <c r="M30" s="408"/>
      <c r="N30" s="240">
        <v>26</v>
      </c>
      <c r="O30" s="242">
        <f>'4a.FAnalysis'!AC$15</f>
        <v>5.1953374596663462</v>
      </c>
      <c r="P30" s="317" t="str">
        <f>'4a.FAnalysis'!AC$16</f>
        <v>--</v>
      </c>
      <c r="Q30" s="38">
        <f>'4a.FAnalysis'!AC$17</f>
        <v>5.1953374596663462</v>
      </c>
      <c r="R30" s="316" t="s">
        <v>31</v>
      </c>
      <c r="S30" s="242">
        <f>'4a.FAnalysis'!AC$19</f>
        <v>0</v>
      </c>
      <c r="T30" s="242">
        <f>'4a.FAnalysis'!AC$20</f>
        <v>-5.1953374596663462</v>
      </c>
    </row>
    <row r="31" spans="2:20" x14ac:dyDescent="0.55000000000000004">
      <c r="B31" s="408"/>
      <c r="C31" s="240">
        <v>27</v>
      </c>
      <c r="D31" s="242">
        <f>'4a.FAnalysis'!AD$4</f>
        <v>98.919599999999988</v>
      </c>
      <c r="E31" s="317" t="str">
        <f>'4a.FAnalysis'!AD$5</f>
        <v>--</v>
      </c>
      <c r="F31" s="201">
        <f>'4a.FAnalysis'!AD$6</f>
        <v>98.919599999999988</v>
      </c>
      <c r="G31" s="316" t="s">
        <v>31</v>
      </c>
      <c r="H31" s="247">
        <f>'4a.FAnalysis'!AD$8</f>
        <v>0</v>
      </c>
      <c r="I31" s="242">
        <f>'4a.FAnalysis'!AD$9</f>
        <v>-98.919599999999988</v>
      </c>
      <c r="J31" s="38"/>
      <c r="K31" s="251">
        <f>'4a.FAnalysis'!AD$11</f>
        <v>4.6893579840763415E-2</v>
      </c>
      <c r="L31" s="38"/>
      <c r="M31" s="408"/>
      <c r="N31" s="240">
        <v>27</v>
      </c>
      <c r="O31" s="242">
        <f>'4a.FAnalysis'!AD$15</f>
        <v>4.6386941604163798</v>
      </c>
      <c r="P31" s="317" t="str">
        <f>'4a.FAnalysis'!AD$16</f>
        <v>--</v>
      </c>
      <c r="Q31" s="38">
        <f>'4a.FAnalysis'!AD$17</f>
        <v>4.6386941604163798</v>
      </c>
      <c r="R31" s="316" t="s">
        <v>31</v>
      </c>
      <c r="S31" s="242">
        <f>'4a.FAnalysis'!AD$19</f>
        <v>0</v>
      </c>
      <c r="T31" s="242">
        <f>'4a.FAnalysis'!AD$20</f>
        <v>-4.6386941604163798</v>
      </c>
    </row>
    <row r="32" spans="2:20" x14ac:dyDescent="0.55000000000000004">
      <c r="B32" s="408"/>
      <c r="C32" s="240">
        <v>28</v>
      </c>
      <c r="D32" s="242">
        <f>'4a.FAnalysis'!AE$4</f>
        <v>98.919599999999988</v>
      </c>
      <c r="E32" s="317" t="str">
        <f>'4a.FAnalysis'!AE$5</f>
        <v>--</v>
      </c>
      <c r="F32" s="201">
        <f>'4a.FAnalysis'!AE$6</f>
        <v>98.919599999999988</v>
      </c>
      <c r="G32" s="316" t="s">
        <v>31</v>
      </c>
      <c r="H32" s="247">
        <f>'4a.FAnalysis'!AE$8</f>
        <v>0</v>
      </c>
      <c r="I32" s="242">
        <f>'4a.FAnalysis'!AE$9</f>
        <v>-98.919599999999988</v>
      </c>
      <c r="J32" s="38"/>
      <c r="K32" s="251">
        <f>'4a.FAnalysis'!AE$11</f>
        <v>4.1869267714967337E-2</v>
      </c>
      <c r="L32" s="38"/>
      <c r="M32" s="408"/>
      <c r="N32" s="240">
        <v>28</v>
      </c>
      <c r="O32" s="242">
        <f>'4a.FAnalysis'!AE$15</f>
        <v>4.1416912146574827</v>
      </c>
      <c r="P32" s="317" t="str">
        <f>'4a.FAnalysis'!AE$16</f>
        <v>--</v>
      </c>
      <c r="Q32" s="38">
        <f>'4a.FAnalysis'!AE$17</f>
        <v>4.1416912146574827</v>
      </c>
      <c r="R32" s="316" t="s">
        <v>31</v>
      </c>
      <c r="S32" s="242">
        <f>'4a.FAnalysis'!AE$19</f>
        <v>0</v>
      </c>
      <c r="T32" s="242">
        <f>'4a.FAnalysis'!AE$20</f>
        <v>-4.1416912146574827</v>
      </c>
    </row>
    <row r="33" spans="2:20" x14ac:dyDescent="0.55000000000000004">
      <c r="B33" s="408"/>
      <c r="C33" s="240">
        <v>29</v>
      </c>
      <c r="D33" s="242">
        <f>'4a.FAnalysis'!AF$4</f>
        <v>98.919599999999988</v>
      </c>
      <c r="E33" s="317" t="str">
        <f>'4a.FAnalysis'!AF$5</f>
        <v>--</v>
      </c>
      <c r="F33" s="201">
        <f>'4a.FAnalysis'!AF$6</f>
        <v>98.919599999999988</v>
      </c>
      <c r="G33" s="316" t="s">
        <v>31</v>
      </c>
      <c r="H33" s="247">
        <f>'4a.FAnalysis'!AF$8</f>
        <v>0</v>
      </c>
      <c r="I33" s="242">
        <f>'4a.FAnalysis'!AF$9</f>
        <v>-98.919599999999988</v>
      </c>
      <c r="J33" s="38"/>
      <c r="K33" s="251">
        <f>'4a.FAnalysis'!AF$11</f>
        <v>3.7383274745506546E-2</v>
      </c>
      <c r="L33" s="38"/>
      <c r="M33" s="408"/>
      <c r="N33" s="240">
        <v>29</v>
      </c>
      <c r="O33" s="242">
        <f>'4a.FAnalysis'!AF$15</f>
        <v>3.697938584515609</v>
      </c>
      <c r="P33" s="317" t="str">
        <f>'4a.FAnalysis'!AF$16</f>
        <v>--</v>
      </c>
      <c r="Q33" s="38">
        <f>'4a.FAnalysis'!AF$17</f>
        <v>3.697938584515609</v>
      </c>
      <c r="R33" s="316" t="s">
        <v>31</v>
      </c>
      <c r="S33" s="242">
        <f>'4a.FAnalysis'!AF$19</f>
        <v>0</v>
      </c>
      <c r="T33" s="242">
        <f>'4a.FAnalysis'!AF$20</f>
        <v>-3.697938584515609</v>
      </c>
    </row>
    <row r="34" spans="2:20" x14ac:dyDescent="0.55000000000000004">
      <c r="B34" s="408"/>
      <c r="C34" s="240">
        <v>30</v>
      </c>
      <c r="D34" s="242">
        <f>'4a.FAnalysis'!AG$4</f>
        <v>98.919599999999988</v>
      </c>
      <c r="E34" s="317" t="str">
        <f>'4a.FAnalysis'!AG$5</f>
        <v>--</v>
      </c>
      <c r="F34" s="201">
        <f>'4a.FAnalysis'!AG$6</f>
        <v>98.919599999999988</v>
      </c>
      <c r="G34" s="316" t="s">
        <v>31</v>
      </c>
      <c r="H34" s="247">
        <f>'4a.FAnalysis'!AG$8</f>
        <v>0</v>
      </c>
      <c r="I34" s="242">
        <f>'4a.FAnalysis'!AG$9</f>
        <v>184.52735845651068</v>
      </c>
      <c r="J34" s="38"/>
      <c r="K34" s="251">
        <f>'4a.FAnalysis'!AG11</f>
        <v>3.3377923879916553E-2</v>
      </c>
      <c r="L34" s="38"/>
      <c r="M34" s="408"/>
      <c r="N34" s="240">
        <v>30</v>
      </c>
      <c r="O34" s="242">
        <f>'4a.FAnalysis'!AG$15</f>
        <v>3.3017308790317932</v>
      </c>
      <c r="P34" s="317" t="str">
        <f>'4a.FAnalysis'!AG$16</f>
        <v>--</v>
      </c>
      <c r="Q34" s="38">
        <f>'4a.FAnalysis'!AG$17</f>
        <v>3.3017308790317932</v>
      </c>
      <c r="R34" s="316" t="s">
        <v>31</v>
      </c>
      <c r="S34" s="242">
        <f>'4a.FAnalysis'!AG$19</f>
        <v>0</v>
      </c>
      <c r="T34" s="242">
        <f>'4a.FAnalysis'!AG$20</f>
        <v>6.15914012432349</v>
      </c>
    </row>
    <row r="35" spans="2:20" x14ac:dyDescent="0.55000000000000004">
      <c r="B35" s="409" t="s">
        <v>30</v>
      </c>
      <c r="C35" s="409"/>
      <c r="D35" s="172"/>
      <c r="E35" s="172"/>
      <c r="F35" s="172"/>
      <c r="G35" s="172">
        <f>'4a.FAnalysis'!AH$7</f>
        <v>-283.44695845651069</v>
      </c>
      <c r="H35" s="172"/>
      <c r="I35" s="172"/>
      <c r="J35" s="172"/>
      <c r="K35" s="172"/>
      <c r="L35" s="172"/>
      <c r="M35" s="409" t="s">
        <v>30</v>
      </c>
      <c r="N35" s="409"/>
      <c r="O35" s="172"/>
      <c r="P35" s="172"/>
      <c r="Q35" s="172"/>
      <c r="R35" s="172">
        <f>'4a.FAnalysis'!AH$18</f>
        <v>-9.4608710033552832</v>
      </c>
      <c r="S35" s="172"/>
      <c r="T35" s="172"/>
    </row>
    <row r="37" spans="2:20" x14ac:dyDescent="0.55000000000000004">
      <c r="D37" s="252" t="str">
        <f>'4a.FAnalysis'!B22</f>
        <v>FNPV</v>
      </c>
      <c r="E37" s="253">
        <f>'4a.FAnalysis'!C22</f>
        <v>-3781.0194605355032</v>
      </c>
      <c r="F37" s="136" t="str">
        <f>'4a.FAnalysis'!D22</f>
        <v xml:space="preserve">  (lakh)</v>
      </c>
    </row>
    <row r="38" spans="2:20" x14ac:dyDescent="0.55000000000000004">
      <c r="D38" s="252" t="str">
        <f>'4a.FAnalysis'!B23</f>
        <v>FBCR</v>
      </c>
      <c r="E38" s="254">
        <f>'4a.FAnalysis'!C23</f>
        <v>0</v>
      </c>
    </row>
    <row r="39" spans="2:20" x14ac:dyDescent="0.55000000000000004">
      <c r="D39" s="252" t="str">
        <f>'4a.FAnalysis'!B24</f>
        <v>FIRR</v>
      </c>
      <c r="E39" s="255" t="str">
        <f>'4a.FAnalysis'!C24</f>
        <v xml:space="preserve">        n/a</v>
      </c>
    </row>
  </sheetData>
  <sheetProtection algorithmName="SHA-512" hashValue="+7UJVkTYOaERV3ml7lHpkdNS+JK4ZRkCxpNAICrrh0HSGefBEPflRIDv3lfncp4/zMHNYip40DGQ50XQoMJ58A==" saltValue="UZFobyzTgrAGVh4O64AMog==" spinCount="100000" sheet="1" objects="1" scenarios="1" autoFilter="0"/>
  <mergeCells count="8">
    <mergeCell ref="B2:I2"/>
    <mergeCell ref="M2:T2"/>
    <mergeCell ref="B4:C4"/>
    <mergeCell ref="B5:B34"/>
    <mergeCell ref="B35:C35"/>
    <mergeCell ref="M4:N4"/>
    <mergeCell ref="M5:M34"/>
    <mergeCell ref="M35:N35"/>
  </mergeCells>
  <phoneticPr fontId="3"/>
  <printOptions horizontalCentered="1"/>
  <pageMargins left="0.7" right="0.7" top="0.75" bottom="0.75" header="0.3" footer="0.3"/>
  <pageSetup paperSize="9" scale="55"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84E4-7ABE-4143-ACC9-F996E67CBA2C}">
  <sheetPr codeName="Sheet8">
    <tabColor theme="5" tint="0.59999389629810485"/>
  </sheetPr>
  <dimension ref="A1:AK62"/>
  <sheetViews>
    <sheetView zoomScale="70" zoomScaleNormal="70" workbookViewId="0">
      <pane xSplit="1" ySplit="1" topLeftCell="B32" activePane="bottomRight" state="frozen"/>
      <selection pane="topRight" activeCell="B1" sqref="B1"/>
      <selection pane="bottomLeft" activeCell="A2" sqref="A2"/>
      <selection pane="bottomRight" activeCell="B3" sqref="B3"/>
    </sheetView>
  </sheetViews>
  <sheetFormatPr defaultRowHeight="18" x14ac:dyDescent="0.55000000000000004"/>
  <cols>
    <col min="1" max="1" width="2.58203125" style="24" customWidth="1"/>
    <col min="2" max="2" width="71.25" style="24" customWidth="1"/>
    <col min="3" max="5" width="8.6640625" style="24" customWidth="1"/>
    <col min="6" max="6" width="4.58203125" style="24" customWidth="1"/>
    <col min="7" max="7" width="70.83203125" style="24" customWidth="1"/>
    <col min="8" max="8" width="8.6640625" style="24" customWidth="1"/>
    <col min="9" max="11" width="8.6640625" style="24" hidden="1" customWidth="1"/>
    <col min="12" max="14" width="8.6640625" style="24"/>
    <col min="15" max="35" width="8.6640625" style="24" hidden="1" customWidth="1"/>
    <col min="36" max="36" width="8.6640625" style="24" customWidth="1"/>
    <col min="37" max="16384" width="8.6640625" style="24"/>
  </cols>
  <sheetData>
    <row r="1" spans="1:10" s="26" customFormat="1" ht="20" x14ac:dyDescent="0.6">
      <c r="A1" s="25" t="str">
        <f>"Economic Costs ("&amp;MID('0.Contents'!A1,20,(LEN('0.Contents'!A1)-20))&amp;")"</f>
        <v>Economic Costs (Rural Infrastructure Development)</v>
      </c>
    </row>
    <row r="2" spans="1:10" ht="20" x14ac:dyDescent="0.6">
      <c r="A2" s="27"/>
      <c r="B2" s="28" t="s">
        <v>21</v>
      </c>
      <c r="C2" s="29"/>
    </row>
    <row r="3" spans="1:10" ht="20" x14ac:dyDescent="0.6">
      <c r="A3" s="27"/>
      <c r="B3" s="28" t="s">
        <v>302</v>
      </c>
      <c r="C3" s="75">
        <f>1/'1.Params_8.Sensitivity'!$D$8</f>
        <v>0.83682008368200833</v>
      </c>
    </row>
    <row r="4" spans="1:10" ht="20" x14ac:dyDescent="0.6">
      <c r="A4" s="27"/>
      <c r="B4" s="185" t="s">
        <v>33</v>
      </c>
      <c r="C4" s="184">
        <f>1/'1.Params_8.Sensitivity'!$D$9</f>
        <v>0.68965517241379315</v>
      </c>
    </row>
    <row r="5" spans="1:10" ht="20" x14ac:dyDescent="0.6">
      <c r="A5" s="27"/>
    </row>
    <row r="6" spans="1:10" ht="20" x14ac:dyDescent="0.6">
      <c r="A6" s="27"/>
      <c r="B6" s="30" t="s">
        <v>15</v>
      </c>
      <c r="G6" s="30" t="s">
        <v>16</v>
      </c>
    </row>
    <row r="7" spans="1:10" ht="54.5" x14ac:dyDescent="0.6">
      <c r="A7" s="27"/>
      <c r="B7" s="31" t="s">
        <v>11</v>
      </c>
      <c r="C7" s="32" t="s">
        <v>27</v>
      </c>
      <c r="D7" s="32" t="s">
        <v>4</v>
      </c>
      <c r="E7" s="33" t="s">
        <v>28</v>
      </c>
      <c r="F7" s="34" t="s">
        <v>17</v>
      </c>
      <c r="G7" s="31" t="s">
        <v>11</v>
      </c>
      <c r="H7" s="32" t="s">
        <v>27</v>
      </c>
      <c r="I7" s="32" t="s">
        <v>4</v>
      </c>
      <c r="J7" s="33" t="s">
        <v>28</v>
      </c>
    </row>
    <row r="8" spans="1:10" x14ac:dyDescent="0.55000000000000004">
      <c r="B8" s="4" t="s">
        <v>5</v>
      </c>
      <c r="C8" s="44">
        <f>SUM('2b.FCosts'!C4:E4)</f>
        <v>0</v>
      </c>
      <c r="D8" s="44">
        <f>'2b.FCosts'!F4</f>
        <v>0</v>
      </c>
      <c r="E8" s="44">
        <f>'2b.FCosts'!G4</f>
        <v>0</v>
      </c>
      <c r="G8" s="28" t="s">
        <v>282</v>
      </c>
      <c r="H8" s="44">
        <f>C8*$C$3</f>
        <v>0</v>
      </c>
      <c r="I8" s="44">
        <f>D8</f>
        <v>0</v>
      </c>
      <c r="J8" s="44">
        <f>H8+I8*'1.Params_8.Sensitivity'!$D$15</f>
        <v>0</v>
      </c>
    </row>
    <row r="9" spans="1:10" x14ac:dyDescent="0.55000000000000004">
      <c r="B9" s="4" t="s">
        <v>6</v>
      </c>
      <c r="C9" s="44">
        <f>SUM('2b.FCosts'!C5:E5)</f>
        <v>0</v>
      </c>
      <c r="D9" s="44">
        <f>'2b.FCosts'!F5</f>
        <v>0</v>
      </c>
      <c r="E9" s="44">
        <f>'2b.FCosts'!G5</f>
        <v>0</v>
      </c>
      <c r="G9" s="4" t="s">
        <v>6</v>
      </c>
      <c r="H9" s="44">
        <f>SUM(H10:H11)</f>
        <v>0</v>
      </c>
      <c r="I9" s="44">
        <f>SUM(I10:I11)</f>
        <v>0</v>
      </c>
      <c r="J9" s="44">
        <f>SUM(J10:J11)</f>
        <v>0</v>
      </c>
    </row>
    <row r="10" spans="1:10" x14ac:dyDescent="0.55000000000000004">
      <c r="B10" s="4" t="s">
        <v>9</v>
      </c>
      <c r="C10" s="44">
        <f>SUM('2b.FCosts'!C6:E6)</f>
        <v>0</v>
      </c>
      <c r="D10" s="44">
        <f>'2b.FCosts'!F6</f>
        <v>0</v>
      </c>
      <c r="E10" s="44">
        <f>'2b.FCosts'!G6</f>
        <v>0</v>
      </c>
      <c r="G10" s="4" t="s">
        <v>283</v>
      </c>
      <c r="H10" s="44">
        <f>C10*$C$3</f>
        <v>0</v>
      </c>
      <c r="I10" s="44">
        <f t="shared" ref="I10:I14" si="0">D10</f>
        <v>0</v>
      </c>
      <c r="J10" s="44">
        <f>H10+I10*'1.Params_8.Sensitivity'!$D$15</f>
        <v>0</v>
      </c>
    </row>
    <row r="11" spans="1:10" x14ac:dyDescent="0.55000000000000004">
      <c r="B11" s="4" t="s">
        <v>10</v>
      </c>
      <c r="C11" s="44">
        <f>SUM('2b.FCosts'!C7:E7)</f>
        <v>0</v>
      </c>
      <c r="D11" s="44">
        <f>'2b.FCosts'!F7</f>
        <v>0</v>
      </c>
      <c r="E11" s="44">
        <f>'2b.FCosts'!G7</f>
        <v>0</v>
      </c>
      <c r="G11" s="4" t="s">
        <v>284</v>
      </c>
      <c r="H11" s="44">
        <f>C11*$C$4</f>
        <v>0</v>
      </c>
      <c r="I11" s="44">
        <f t="shared" si="0"/>
        <v>0</v>
      </c>
      <c r="J11" s="44">
        <f>H11+I11*'1.Params_8.Sensitivity'!$D$15</f>
        <v>0</v>
      </c>
    </row>
    <row r="12" spans="1:10" x14ac:dyDescent="0.55000000000000004">
      <c r="B12" s="4" t="s">
        <v>7</v>
      </c>
      <c r="C12" s="44">
        <f>SUM('2b.FCosts'!C8:E8)</f>
        <v>0</v>
      </c>
      <c r="D12" s="44">
        <f>'2b.FCosts'!F8</f>
        <v>0</v>
      </c>
      <c r="E12" s="44">
        <f>'2b.FCosts'!G8</f>
        <v>0</v>
      </c>
      <c r="G12" s="4" t="s">
        <v>285</v>
      </c>
      <c r="H12" s="44">
        <f>C12*$C$3</f>
        <v>0</v>
      </c>
      <c r="I12" s="44">
        <f t="shared" si="0"/>
        <v>0</v>
      </c>
      <c r="J12" s="44">
        <f>H12+I12*'1.Params_8.Sensitivity'!$D$15</f>
        <v>0</v>
      </c>
    </row>
    <row r="13" spans="1:10" x14ac:dyDescent="0.55000000000000004">
      <c r="B13" s="4" t="s">
        <v>234</v>
      </c>
      <c r="C13" s="44">
        <f>SUM('2b.FCosts'!C9:E9)</f>
        <v>0</v>
      </c>
      <c r="D13" s="44">
        <f>'2b.FCosts'!F9</f>
        <v>0</v>
      </c>
      <c r="E13" s="44">
        <f>'2b.FCosts'!G9</f>
        <v>0</v>
      </c>
      <c r="G13" s="4" t="s">
        <v>286</v>
      </c>
      <c r="H13" s="44">
        <f>C13*$C$3</f>
        <v>0</v>
      </c>
      <c r="I13" s="44">
        <f t="shared" si="0"/>
        <v>0</v>
      </c>
      <c r="J13" s="44">
        <f>H13+I13*'1.Params_8.Sensitivity'!$D$15</f>
        <v>0</v>
      </c>
    </row>
    <row r="14" spans="1:10" x14ac:dyDescent="0.55000000000000004">
      <c r="B14" s="4" t="s">
        <v>8</v>
      </c>
      <c r="C14" s="44">
        <f>SUM('2b.FCosts'!C10:E10)</f>
        <v>0</v>
      </c>
      <c r="D14" s="44">
        <f>'2b.FCosts'!F10</f>
        <v>0</v>
      </c>
      <c r="E14" s="44">
        <f>'2b.FCosts'!G10</f>
        <v>0</v>
      </c>
      <c r="G14" s="4" t="s">
        <v>287</v>
      </c>
      <c r="H14" s="44">
        <f>C14*$C$3</f>
        <v>0</v>
      </c>
      <c r="I14" s="44">
        <f t="shared" si="0"/>
        <v>0</v>
      </c>
      <c r="J14" s="44">
        <f>H14+I14*'1.Params_8.Sensitivity'!$D$15</f>
        <v>0</v>
      </c>
    </row>
    <row r="15" spans="1:10" x14ac:dyDescent="0.55000000000000004">
      <c r="B15" s="9" t="s">
        <v>32</v>
      </c>
      <c r="C15" s="45">
        <f>SUM('2b.FCosts'!C11:E11)</f>
        <v>0</v>
      </c>
      <c r="D15" s="45">
        <f>'2b.FCosts'!F11</f>
        <v>0</v>
      </c>
      <c r="E15" s="45">
        <f>'2b.FCosts'!G11</f>
        <v>0</v>
      </c>
      <c r="G15" s="174" t="s">
        <v>32</v>
      </c>
      <c r="H15" s="176" t="s">
        <v>31</v>
      </c>
      <c r="I15" s="176" t="s">
        <v>31</v>
      </c>
      <c r="J15" s="176" t="s">
        <v>31</v>
      </c>
    </row>
    <row r="16" spans="1:10" x14ac:dyDescent="0.55000000000000004">
      <c r="B16" s="170" t="s">
        <v>269</v>
      </c>
      <c r="C16" s="44">
        <f>SUM('2b.FCosts'!C12:E12)</f>
        <v>0</v>
      </c>
      <c r="D16" s="44">
        <f>'2b.FCosts'!F12</f>
        <v>0</v>
      </c>
      <c r="E16" s="44">
        <f>'2b.FCosts'!G12</f>
        <v>0</v>
      </c>
      <c r="G16" s="170" t="s">
        <v>281</v>
      </c>
      <c r="H16" s="312">
        <f>SUM(H8:H14)</f>
        <v>0</v>
      </c>
      <c r="I16" s="312">
        <f t="shared" ref="I16:J16" si="1">SUM(I8:I14)</f>
        <v>0</v>
      </c>
      <c r="J16" s="312">
        <f t="shared" si="1"/>
        <v>0</v>
      </c>
    </row>
    <row r="17" spans="2:13" x14ac:dyDescent="0.55000000000000004">
      <c r="B17" s="4" t="str">
        <f>"Physical Contingency ("&amp;TEXT('1.Params_8.Sensitivity'!D3,"0%")&amp;")"</f>
        <v>Physical Contingency (2%)</v>
      </c>
      <c r="C17" s="46">
        <f>SUM('2b.FCosts'!C13:E13)</f>
        <v>0</v>
      </c>
      <c r="D17" s="46">
        <f>'2b.FCosts'!F13</f>
        <v>0</v>
      </c>
      <c r="E17" s="46">
        <f>'2b.FCosts'!G13</f>
        <v>0</v>
      </c>
      <c r="G17" s="4" t="s">
        <v>288</v>
      </c>
      <c r="H17" s="44">
        <f>C17*$C$3</f>
        <v>0</v>
      </c>
      <c r="I17" s="44">
        <f>D17</f>
        <v>0</v>
      </c>
      <c r="J17" s="44">
        <f>H17+I17*'1.Params_8.Sensitivity'!$D$15</f>
        <v>0</v>
      </c>
    </row>
    <row r="18" spans="2:13" x14ac:dyDescent="0.55000000000000004">
      <c r="B18" s="171" t="str">
        <f>_xlfn.CONCAT("Price Contingency, Local currency ("&amp;TEXT('1.Params_8.Sensitivity'!D4,"0%")&amp;")"," / Foreign currency ("&amp;TEXT('1.Params_8.Sensitivity'!D5,"0%")&amp;")")</f>
        <v>Price Contingency, Local currency (5%) / Foreign currency (5%)</v>
      </c>
      <c r="C18" s="47">
        <f>SUM('2b.FCosts'!C14:E14)</f>
        <v>0</v>
      </c>
      <c r="D18" s="47">
        <f>'2b.FCosts'!F14</f>
        <v>0</v>
      </c>
      <c r="E18" s="47">
        <f>'2b.FCosts'!G14</f>
        <v>0</v>
      </c>
      <c r="G18" s="173" t="s">
        <v>25</v>
      </c>
      <c r="H18" s="175" t="s">
        <v>31</v>
      </c>
      <c r="I18" s="175" t="s">
        <v>31</v>
      </c>
      <c r="J18" s="175" t="s">
        <v>31</v>
      </c>
    </row>
    <row r="19" spans="2:13" x14ac:dyDescent="0.55000000000000004">
      <c r="B19" s="170" t="s">
        <v>272</v>
      </c>
      <c r="C19" s="44">
        <f>SUM('2b.FCosts'!C15:E15)</f>
        <v>0</v>
      </c>
      <c r="D19" s="44">
        <f>'2b.FCosts'!F15</f>
        <v>0</v>
      </c>
      <c r="E19" s="44">
        <f>'2b.FCosts'!G15</f>
        <v>0</v>
      </c>
      <c r="G19" s="295" t="s">
        <v>272</v>
      </c>
      <c r="H19" s="176" t="s">
        <v>31</v>
      </c>
      <c r="I19" s="176" t="s">
        <v>31</v>
      </c>
      <c r="J19" s="176" t="s">
        <v>31</v>
      </c>
    </row>
    <row r="20" spans="2:13" x14ac:dyDescent="0.55000000000000004">
      <c r="B20" s="170" t="s">
        <v>271</v>
      </c>
      <c r="C20" s="45">
        <f>SUM('2b.FCosts'!C16:E16)</f>
        <v>0</v>
      </c>
      <c r="D20" s="45">
        <f>'2b.FCosts'!F16</f>
        <v>0</v>
      </c>
      <c r="E20" s="45">
        <f>'2b.FCosts'!G16</f>
        <v>0</v>
      </c>
      <c r="G20" s="170" t="s">
        <v>289</v>
      </c>
      <c r="H20" s="45">
        <f>H16+H17</f>
        <v>0</v>
      </c>
      <c r="I20" s="45">
        <f t="shared" ref="I20" si="2">I16+I17</f>
        <v>0</v>
      </c>
      <c r="J20" s="70">
        <f>J16+J17</f>
        <v>0</v>
      </c>
      <c r="K20" s="136" t="s">
        <v>103</v>
      </c>
    </row>
    <row r="21" spans="2:13" ht="18.5" thickBot="1" x14ac:dyDescent="0.6">
      <c r="B21" s="71"/>
      <c r="C21" s="44"/>
      <c r="D21" s="44"/>
      <c r="E21" s="44"/>
      <c r="G21" s="71"/>
      <c r="H21" s="44"/>
      <c r="I21" s="44"/>
      <c r="J21" s="44"/>
    </row>
    <row r="22" spans="2:13" x14ac:dyDescent="0.55000000000000004">
      <c r="B22" s="294" t="s">
        <v>290</v>
      </c>
      <c r="C22" s="296" t="s">
        <v>291</v>
      </c>
      <c r="D22" s="296" t="s">
        <v>275</v>
      </c>
      <c r="E22" s="297" t="s">
        <v>24</v>
      </c>
      <c r="G22" s="294" t="s">
        <v>290</v>
      </c>
      <c r="H22" s="298" t="s">
        <v>291</v>
      </c>
      <c r="I22" s="298" t="s">
        <v>275</v>
      </c>
      <c r="J22" s="299" t="s">
        <v>24</v>
      </c>
    </row>
    <row r="23" spans="2:13" x14ac:dyDescent="0.55000000000000004">
      <c r="B23" s="288" t="s">
        <v>32</v>
      </c>
      <c r="C23" s="44">
        <f>SUM('2b.FCosts'!C19:E19)</f>
        <v>0</v>
      </c>
      <c r="D23" s="44">
        <f>'2b.FCosts'!F19</f>
        <v>0</v>
      </c>
      <c r="E23" s="300">
        <f>'2b.FCosts'!G19</f>
        <v>0</v>
      </c>
      <c r="G23" s="288" t="s">
        <v>32</v>
      </c>
      <c r="H23" s="176" t="s">
        <v>31</v>
      </c>
      <c r="I23" s="176" t="s">
        <v>31</v>
      </c>
      <c r="J23" s="301" t="s">
        <v>31</v>
      </c>
    </row>
    <row r="24" spans="2:13" x14ac:dyDescent="0.55000000000000004">
      <c r="B24" s="280" t="s">
        <v>269</v>
      </c>
      <c r="C24" s="45">
        <f>SUM('2b.FCosts'!C20:E20)</f>
        <v>4849</v>
      </c>
      <c r="D24" s="45">
        <f>'2b.FCosts'!F20</f>
        <v>0</v>
      </c>
      <c r="E24" s="302">
        <f>'2b.FCosts'!G20</f>
        <v>4849</v>
      </c>
      <c r="G24" s="280" t="s">
        <v>281</v>
      </c>
      <c r="H24" s="303">
        <f>(C24-C23)*$C$3</f>
        <v>4057.7405857740582</v>
      </c>
      <c r="I24" s="44">
        <f>D24-D23</f>
        <v>0</v>
      </c>
      <c r="J24" s="304">
        <f>H24+I24*'1.Params_8.Sensitivity'!$D$15</f>
        <v>4057.7405857740582</v>
      </c>
    </row>
    <row r="25" spans="2:13" x14ac:dyDescent="0.55000000000000004">
      <c r="B25" s="290" t="s">
        <v>26</v>
      </c>
      <c r="C25" s="44">
        <f>SUM('2b.FCosts'!C21:E21)</f>
        <v>96.98</v>
      </c>
      <c r="D25" s="44">
        <f>'2b.FCosts'!F21</f>
        <v>0</v>
      </c>
      <c r="E25" s="300">
        <f>'2b.FCosts'!G21</f>
        <v>96.98</v>
      </c>
      <c r="G25" s="290" t="s">
        <v>26</v>
      </c>
      <c r="H25" s="46">
        <f>C25*$C$3</f>
        <v>81.154811715481173</v>
      </c>
      <c r="I25" s="46">
        <f>D25</f>
        <v>0</v>
      </c>
      <c r="J25" s="305">
        <f>H25+I25*'1.Params_8.Sensitivity'!$D$15</f>
        <v>81.154811715481173</v>
      </c>
    </row>
    <row r="26" spans="2:13" x14ac:dyDescent="0.55000000000000004">
      <c r="B26" s="292" t="s">
        <v>25</v>
      </c>
      <c r="C26" s="44">
        <f>SUM('2b.FCosts'!C22:E22)</f>
        <v>242.45000000000002</v>
      </c>
      <c r="D26" s="44">
        <f>'2b.FCosts'!F22</f>
        <v>0</v>
      </c>
      <c r="E26" s="300">
        <f>'2b.FCosts'!G22</f>
        <v>242.45000000000002</v>
      </c>
      <c r="G26" s="306" t="s">
        <v>25</v>
      </c>
      <c r="H26" s="307" t="s">
        <v>31</v>
      </c>
      <c r="I26" s="307" t="s">
        <v>31</v>
      </c>
      <c r="J26" s="308" t="s">
        <v>31</v>
      </c>
    </row>
    <row r="27" spans="2:13" x14ac:dyDescent="0.55000000000000004">
      <c r="B27" s="280" t="s">
        <v>272</v>
      </c>
      <c r="C27" s="45">
        <f>SUM('2b.FCosts'!C23:E23)</f>
        <v>5188.4299999999994</v>
      </c>
      <c r="D27" s="45">
        <f>'2b.FCosts'!F23</f>
        <v>0</v>
      </c>
      <c r="E27" s="302">
        <f>'2b.FCosts'!G23</f>
        <v>5188.4299999999994</v>
      </c>
      <c r="G27" s="309" t="s">
        <v>272</v>
      </c>
      <c r="H27" s="176" t="s">
        <v>31</v>
      </c>
      <c r="I27" s="176" t="s">
        <v>31</v>
      </c>
      <c r="J27" s="301" t="s">
        <v>31</v>
      </c>
    </row>
    <row r="28" spans="2:13" ht="18.5" thickBot="1" x14ac:dyDescent="0.6">
      <c r="B28" s="282" t="s">
        <v>270</v>
      </c>
      <c r="C28" s="310">
        <f>SUM('2b.FCosts'!C24:E24)</f>
        <v>4945.9799999999996</v>
      </c>
      <c r="D28" s="310">
        <f>'2b.FCosts'!F24</f>
        <v>0</v>
      </c>
      <c r="E28" s="321">
        <f>'2b.FCosts'!G24</f>
        <v>4945.9799999999996</v>
      </c>
      <c r="G28" s="282" t="s">
        <v>289</v>
      </c>
      <c r="H28" s="310">
        <f>H24+H25</f>
        <v>4138.8953974895394</v>
      </c>
      <c r="I28" s="310">
        <f>I24+I25</f>
        <v>0</v>
      </c>
      <c r="J28" s="311">
        <f>J24+J25</f>
        <v>4138.8953974895394</v>
      </c>
      <c r="K28" s="136" t="s">
        <v>103</v>
      </c>
    </row>
    <row r="29" spans="2:13" x14ac:dyDescent="0.55000000000000004">
      <c r="B29" s="71"/>
      <c r="C29" s="44"/>
      <c r="D29" s="44"/>
      <c r="E29" s="44"/>
      <c r="G29" s="71"/>
      <c r="H29" s="44"/>
      <c r="I29" s="44"/>
      <c r="J29" s="44"/>
    </row>
    <row r="30" spans="2:13" x14ac:dyDescent="0.55000000000000004">
      <c r="B30" s="71"/>
      <c r="C30" s="44"/>
      <c r="D30" s="44"/>
      <c r="E30" s="44"/>
      <c r="G30" s="9"/>
      <c r="H30" s="14">
        <v>1</v>
      </c>
      <c r="I30" s="12">
        <v>2</v>
      </c>
      <c r="J30" s="14">
        <v>3</v>
      </c>
      <c r="K30" s="12">
        <v>4</v>
      </c>
      <c r="L30" s="14">
        <v>5</v>
      </c>
      <c r="M30" s="7" t="s">
        <v>24</v>
      </c>
    </row>
    <row r="31" spans="2:13" x14ac:dyDescent="0.55000000000000004">
      <c r="B31" s="71"/>
      <c r="C31" s="44"/>
      <c r="D31" s="44"/>
      <c r="E31" s="44"/>
      <c r="G31" s="17" t="s">
        <v>292</v>
      </c>
      <c r="H31" s="177">
        <f>'2b.FCosts'!C27</f>
        <v>0.04</v>
      </c>
      <c r="I31" s="177">
        <f>'2b.FCosts'!D27</f>
        <v>0.1</v>
      </c>
      <c r="J31" s="177">
        <f>'2b.FCosts'!E27</f>
        <v>0.3</v>
      </c>
      <c r="K31" s="177">
        <f>'2b.FCosts'!F27</f>
        <v>0.45000000000000007</v>
      </c>
      <c r="L31" s="177">
        <f>'2b.FCosts'!G27</f>
        <v>0.10999999999999999</v>
      </c>
      <c r="M31" s="72">
        <f>SUM(H31:L31)</f>
        <v>1</v>
      </c>
    </row>
    <row r="32" spans="2:13" x14ac:dyDescent="0.55000000000000004">
      <c r="B32" s="71"/>
      <c r="C32" s="44"/>
      <c r="D32" s="44"/>
      <c r="E32" s="44"/>
      <c r="G32" s="63" t="s">
        <v>29</v>
      </c>
      <c r="H32" s="50">
        <f>$J$28*H$31</f>
        <v>165.55581589958157</v>
      </c>
      <c r="I32" s="50">
        <f>$J$28*I$31</f>
        <v>413.88953974895395</v>
      </c>
      <c r="J32" s="50">
        <f>$J$28*J$31</f>
        <v>1241.6686192468617</v>
      </c>
      <c r="K32" s="50">
        <f>$J$28*K$31</f>
        <v>1862.5029288702931</v>
      </c>
      <c r="L32" s="50">
        <f>$J$28*L$31</f>
        <v>455.27849372384929</v>
      </c>
      <c r="M32" s="58">
        <f>SUM(H32:L32)</f>
        <v>4138.8953974895394</v>
      </c>
    </row>
    <row r="33" spans="1:13" x14ac:dyDescent="0.55000000000000004">
      <c r="B33" s="71"/>
      <c r="C33" s="44"/>
      <c r="D33" s="44"/>
      <c r="E33" s="44"/>
      <c r="G33" s="22"/>
      <c r="H33" s="56"/>
      <c r="I33" s="56"/>
      <c r="J33" s="56"/>
      <c r="K33" s="56"/>
      <c r="L33" s="56"/>
      <c r="M33" s="57"/>
    </row>
    <row r="34" spans="1:13" x14ac:dyDescent="0.55000000000000004">
      <c r="B34" s="71"/>
      <c r="C34" s="44"/>
      <c r="D34" s="44"/>
      <c r="E34" s="44"/>
      <c r="G34" s="22"/>
      <c r="H34" s="56"/>
      <c r="I34" s="56"/>
      <c r="J34" s="56"/>
      <c r="K34" s="56"/>
      <c r="L34" s="56"/>
      <c r="M34" s="57"/>
    </row>
    <row r="35" spans="1:13" x14ac:dyDescent="0.55000000000000004">
      <c r="B35" s="30" t="s">
        <v>15</v>
      </c>
      <c r="G35" s="30" t="s">
        <v>16</v>
      </c>
      <c r="H35" s="56"/>
      <c r="I35" s="56"/>
      <c r="J35" s="56"/>
      <c r="K35" s="56"/>
      <c r="L35" s="56"/>
      <c r="M35" s="57"/>
    </row>
    <row r="36" spans="1:13" ht="29" x14ac:dyDescent="0.55000000000000004">
      <c r="B36" s="7" t="s">
        <v>11</v>
      </c>
      <c r="C36" s="9"/>
      <c r="D36" s="44"/>
      <c r="E36" s="44"/>
      <c r="F36" s="34" t="s">
        <v>17</v>
      </c>
      <c r="G36" s="7" t="s">
        <v>11</v>
      </c>
      <c r="H36" s="9"/>
      <c r="I36" s="56"/>
      <c r="J36" s="56"/>
      <c r="K36" s="56"/>
      <c r="L36" s="56"/>
      <c r="M36" s="57"/>
    </row>
    <row r="37" spans="1:13" x14ac:dyDescent="0.55000000000000004">
      <c r="B37" s="15" t="s">
        <v>12</v>
      </c>
      <c r="C37" s="62">
        <f>'2b.FCosts'!$C$42</f>
        <v>283.44695845651069</v>
      </c>
      <c r="D37" s="44"/>
      <c r="E37" s="44"/>
      <c r="G37" s="15" t="s">
        <v>124</v>
      </c>
      <c r="H37" s="125">
        <f>C37*$C$3</f>
        <v>237.194107494988</v>
      </c>
      <c r="I37" s="136" t="s">
        <v>103</v>
      </c>
      <c r="J37" s="56"/>
      <c r="K37" s="56"/>
      <c r="L37" s="56"/>
      <c r="M37" s="57"/>
    </row>
    <row r="40" spans="1:13" ht="20" x14ac:dyDescent="0.6">
      <c r="A40" s="27"/>
      <c r="B40" s="30" t="s">
        <v>15</v>
      </c>
      <c r="G40" s="30" t="s">
        <v>16</v>
      </c>
    </row>
    <row r="41" spans="1:13" ht="54" x14ac:dyDescent="0.55000000000000004">
      <c r="B41" s="31" t="s">
        <v>11</v>
      </c>
      <c r="C41" s="32" t="s">
        <v>27</v>
      </c>
      <c r="D41" s="32" t="s">
        <v>4</v>
      </c>
      <c r="E41" s="33" t="s">
        <v>28</v>
      </c>
      <c r="F41" s="34" t="s">
        <v>17</v>
      </c>
      <c r="G41" s="31" t="s">
        <v>11</v>
      </c>
      <c r="H41" s="32" t="s">
        <v>27</v>
      </c>
      <c r="I41" s="32" t="s">
        <v>4</v>
      </c>
      <c r="J41" s="33" t="s">
        <v>28</v>
      </c>
    </row>
    <row r="42" spans="1:13" ht="17.5" customHeight="1" x14ac:dyDescent="0.55000000000000004">
      <c r="B42" s="16" t="s">
        <v>42</v>
      </c>
      <c r="C42" s="88">
        <f>'2b.FCosts'!C46</f>
        <v>0</v>
      </c>
      <c r="D42" s="88">
        <f>'2b.FCosts'!D46</f>
        <v>0</v>
      </c>
      <c r="E42" s="88">
        <f>'2b.FCosts'!$E$46</f>
        <v>0</v>
      </c>
      <c r="F42" s="34"/>
      <c r="G42" s="16" t="s">
        <v>297</v>
      </c>
      <c r="H42" s="44">
        <f>C42*$C$3</f>
        <v>0</v>
      </c>
      <c r="I42" s="44">
        <f>D42</f>
        <v>0</v>
      </c>
      <c r="J42" s="48">
        <f>H42+I42*'1.Params_8.Sensitivity'!$D$15</f>
        <v>0</v>
      </c>
    </row>
    <row r="43" spans="1:13" x14ac:dyDescent="0.55000000000000004">
      <c r="B43" s="36" t="s">
        <v>14</v>
      </c>
      <c r="C43" s="303">
        <f>'2b.FCosts'!C47</f>
        <v>98.919599999999988</v>
      </c>
      <c r="D43" s="303">
        <f>'2b.FCosts'!D47</f>
        <v>0</v>
      </c>
      <c r="E43" s="303">
        <f>'2b.FCosts'!$E$47</f>
        <v>98.919599999999988</v>
      </c>
      <c r="G43" s="36" t="s">
        <v>298</v>
      </c>
      <c r="H43" s="44">
        <f>C43*$C$3</f>
        <v>82.777907949790787</v>
      </c>
      <c r="I43" s="44">
        <f>D43</f>
        <v>0</v>
      </c>
      <c r="J43" s="48">
        <f>H43+I43*'1.Params_8.Sensitivity'!$D$15</f>
        <v>82.777907949790787</v>
      </c>
    </row>
    <row r="44" spans="1:13" x14ac:dyDescent="0.55000000000000004">
      <c r="B44" s="28" t="s">
        <v>6</v>
      </c>
      <c r="C44" s="44">
        <f>'2b.FCosts'!C48</f>
        <v>0</v>
      </c>
      <c r="D44" s="44">
        <f>'2b.FCosts'!D48</f>
        <v>0</v>
      </c>
      <c r="E44" s="44">
        <f>'2b.FCosts'!$E$48</f>
        <v>0</v>
      </c>
      <c r="G44" s="28" t="s">
        <v>6</v>
      </c>
      <c r="H44" s="44">
        <f>SUM(H45:H46)</f>
        <v>0</v>
      </c>
      <c r="I44" s="44">
        <f t="shared" ref="I44:J44" si="3">SUM(I45:I46)</f>
        <v>0</v>
      </c>
      <c r="J44" s="44">
        <f t="shared" si="3"/>
        <v>0</v>
      </c>
    </row>
    <row r="45" spans="1:13" x14ac:dyDescent="0.55000000000000004">
      <c r="B45" s="28" t="s">
        <v>9</v>
      </c>
      <c r="C45" s="44">
        <f>'2b.FCosts'!C49</f>
        <v>0</v>
      </c>
      <c r="D45" s="44">
        <f>'2b.FCosts'!D49</f>
        <v>0</v>
      </c>
      <c r="E45" s="44">
        <f>'2b.FCosts'!$E$49</f>
        <v>0</v>
      </c>
      <c r="G45" s="28" t="s">
        <v>283</v>
      </c>
      <c r="H45" s="44">
        <f>C45*$C$3</f>
        <v>0</v>
      </c>
      <c r="I45" s="44">
        <f>D45</f>
        <v>0</v>
      </c>
      <c r="J45" s="48">
        <f>H45+I45*'1.Params_8.Sensitivity'!$D$15</f>
        <v>0</v>
      </c>
    </row>
    <row r="46" spans="1:13" x14ac:dyDescent="0.55000000000000004">
      <c r="B46" s="28" t="s">
        <v>10</v>
      </c>
      <c r="C46" s="44">
        <f>'2b.FCosts'!C50</f>
        <v>0</v>
      </c>
      <c r="D46" s="44">
        <f>'2b.FCosts'!D50</f>
        <v>0</v>
      </c>
      <c r="E46" s="44">
        <f>'2b.FCosts'!$E$50</f>
        <v>0</v>
      </c>
      <c r="G46" s="28" t="s">
        <v>300</v>
      </c>
      <c r="H46" s="44">
        <f>C46*$C$4</f>
        <v>0</v>
      </c>
      <c r="I46" s="44">
        <f t="shared" ref="I46:I48" si="4">D46</f>
        <v>0</v>
      </c>
      <c r="J46" s="48">
        <f>H46+I46*'1.Params_8.Sensitivity'!$D$15</f>
        <v>0</v>
      </c>
    </row>
    <row r="47" spans="1:13" x14ac:dyDescent="0.55000000000000004">
      <c r="B47" s="28" t="s">
        <v>13</v>
      </c>
      <c r="C47" s="44">
        <f>'2b.FCosts'!C51</f>
        <v>0</v>
      </c>
      <c r="D47" s="44">
        <f>'2b.FCosts'!D51</f>
        <v>0</v>
      </c>
      <c r="E47" s="44">
        <f>'2b.FCosts'!$E$51</f>
        <v>0</v>
      </c>
      <c r="G47" s="28" t="s">
        <v>299</v>
      </c>
      <c r="H47" s="44">
        <f>C47*$C$3</f>
        <v>0</v>
      </c>
      <c r="I47" s="44">
        <f t="shared" si="4"/>
        <v>0</v>
      </c>
      <c r="J47" s="48">
        <f>H47+I47*'1.Params_8.Sensitivity'!$D$15</f>
        <v>0</v>
      </c>
    </row>
    <row r="48" spans="1:13" x14ac:dyDescent="0.55000000000000004">
      <c r="B48" s="28" t="s">
        <v>8</v>
      </c>
      <c r="C48" s="44">
        <f>'2b.FCosts'!C52</f>
        <v>0</v>
      </c>
      <c r="D48" s="44">
        <f>'2b.FCosts'!D52</f>
        <v>0</v>
      </c>
      <c r="E48" s="44">
        <f>'2b.FCosts'!$E$52</f>
        <v>0</v>
      </c>
      <c r="G48" s="28" t="s">
        <v>287</v>
      </c>
      <c r="H48" s="44">
        <f>C48*$C$3</f>
        <v>0</v>
      </c>
      <c r="I48" s="44">
        <f t="shared" si="4"/>
        <v>0</v>
      </c>
      <c r="J48" s="48">
        <f>H48+I48*'1.Params_8.Sensitivity'!$D$15</f>
        <v>0</v>
      </c>
    </row>
    <row r="49" spans="2:37" x14ac:dyDescent="0.55000000000000004">
      <c r="B49" s="35" t="s">
        <v>139</v>
      </c>
      <c r="C49" s="313">
        <f>'2b.FCosts'!C53</f>
        <v>98.919599999999988</v>
      </c>
      <c r="D49" s="313">
        <f>'2b.FCosts'!D53</f>
        <v>0</v>
      </c>
      <c r="E49" s="314">
        <f>'2b.FCosts'!$E$53</f>
        <v>98.919599999999988</v>
      </c>
      <c r="G49" s="35" t="s">
        <v>139</v>
      </c>
      <c r="H49" s="49">
        <f>SUM(H42:H44,H47:H48)</f>
        <v>82.777907949790787</v>
      </c>
      <c r="I49" s="49">
        <f t="shared" ref="I49:J49" si="5">SUM(I42:I44,I47:I48)</f>
        <v>0</v>
      </c>
      <c r="J49" s="125">
        <f t="shared" si="5"/>
        <v>82.777907949790787</v>
      </c>
      <c r="K49" s="136" t="s">
        <v>103</v>
      </c>
    </row>
    <row r="50" spans="2:37" x14ac:dyDescent="0.55000000000000004">
      <c r="C50" s="37"/>
      <c r="D50" s="37"/>
      <c r="E50" s="37"/>
    </row>
    <row r="51" spans="2:37" x14ac:dyDescent="0.55000000000000004">
      <c r="G51" s="9"/>
      <c r="H51" s="64">
        <v>1</v>
      </c>
      <c r="I51" s="7">
        <v>2</v>
      </c>
      <c r="J51" s="64">
        <v>3</v>
      </c>
      <c r="K51" s="7">
        <v>4</v>
      </c>
      <c r="L51" s="64">
        <v>5</v>
      </c>
      <c r="M51" s="85">
        <v>6</v>
      </c>
      <c r="N51" s="86">
        <v>7</v>
      </c>
      <c r="O51" s="85">
        <v>8</v>
      </c>
      <c r="P51" s="86">
        <v>9</v>
      </c>
      <c r="Q51" s="85">
        <v>10</v>
      </c>
      <c r="R51" s="86">
        <v>11</v>
      </c>
      <c r="S51" s="85">
        <v>12</v>
      </c>
      <c r="T51" s="86">
        <v>13</v>
      </c>
      <c r="U51" s="85">
        <v>14</v>
      </c>
      <c r="V51" s="86">
        <v>15</v>
      </c>
      <c r="W51" s="85">
        <v>16</v>
      </c>
      <c r="X51" s="86">
        <v>17</v>
      </c>
      <c r="Y51" s="85">
        <v>18</v>
      </c>
      <c r="Z51" s="86">
        <v>19</v>
      </c>
      <c r="AA51" s="85">
        <v>20</v>
      </c>
      <c r="AB51" s="86">
        <v>21</v>
      </c>
      <c r="AC51" s="85">
        <v>22</v>
      </c>
      <c r="AD51" s="86">
        <v>23</v>
      </c>
      <c r="AE51" s="85">
        <v>24</v>
      </c>
      <c r="AF51" s="86">
        <v>25</v>
      </c>
      <c r="AG51" s="85">
        <v>26</v>
      </c>
      <c r="AH51" s="86">
        <v>27</v>
      </c>
      <c r="AI51" s="85">
        <v>28</v>
      </c>
      <c r="AJ51" s="86">
        <v>29</v>
      </c>
      <c r="AK51" s="85">
        <v>30</v>
      </c>
    </row>
    <row r="52" spans="2:37" x14ac:dyDescent="0.55000000000000004">
      <c r="G52" s="17" t="s">
        <v>296</v>
      </c>
      <c r="H52" s="66">
        <f>'2b.FCosts'!C57</f>
        <v>0</v>
      </c>
      <c r="I52" s="66">
        <f>'2b.FCosts'!D57</f>
        <v>0</v>
      </c>
      <c r="J52" s="66">
        <f>'2b.FCosts'!E57</f>
        <v>0</v>
      </c>
      <c r="K52" s="66">
        <f>'2b.FCosts'!F57</f>
        <v>0</v>
      </c>
      <c r="L52" s="66">
        <f>'2b.FCosts'!G57</f>
        <v>0</v>
      </c>
      <c r="M52" s="66">
        <f>'2b.FCosts'!H57</f>
        <v>1</v>
      </c>
      <c r="N52" s="66">
        <f>'2b.FCosts'!I57</f>
        <v>1</v>
      </c>
      <c r="O52" s="66">
        <f>'2b.FCosts'!J57</f>
        <v>1</v>
      </c>
      <c r="P52" s="66">
        <f>'2b.FCosts'!K57</f>
        <v>1</v>
      </c>
      <c r="Q52" s="66">
        <f>'2b.FCosts'!L57</f>
        <v>1</v>
      </c>
      <c r="R52" s="66">
        <f>'2b.FCosts'!M57</f>
        <v>1</v>
      </c>
      <c r="S52" s="66">
        <f>'2b.FCosts'!N57</f>
        <v>1</v>
      </c>
      <c r="T52" s="66">
        <f>'2b.FCosts'!O57</f>
        <v>1</v>
      </c>
      <c r="U52" s="66">
        <f>'2b.FCosts'!P57</f>
        <v>1</v>
      </c>
      <c r="V52" s="66">
        <f>'2b.FCosts'!Q57</f>
        <v>1</v>
      </c>
      <c r="W52" s="66">
        <f>'2b.FCosts'!R57</f>
        <v>1</v>
      </c>
      <c r="X52" s="66">
        <f>'2b.FCosts'!S57</f>
        <v>1</v>
      </c>
      <c r="Y52" s="66">
        <f>'2b.FCosts'!T57</f>
        <v>1</v>
      </c>
      <c r="Z52" s="66">
        <f>'2b.FCosts'!U57</f>
        <v>1</v>
      </c>
      <c r="AA52" s="66">
        <f>'2b.FCosts'!V57</f>
        <v>1</v>
      </c>
      <c r="AB52" s="66">
        <f>'2b.FCosts'!W57</f>
        <v>1</v>
      </c>
      <c r="AC52" s="66">
        <f>'2b.FCosts'!X57</f>
        <v>1</v>
      </c>
      <c r="AD52" s="66">
        <f>'2b.FCosts'!Y57</f>
        <v>1</v>
      </c>
      <c r="AE52" s="66">
        <f>'2b.FCosts'!Z57</f>
        <v>1</v>
      </c>
      <c r="AF52" s="66">
        <f>'2b.FCosts'!AA57</f>
        <v>1</v>
      </c>
      <c r="AG52" s="66">
        <f>'2b.FCosts'!AB57</f>
        <v>1</v>
      </c>
      <c r="AH52" s="66">
        <f>'2b.FCosts'!AC57</f>
        <v>1</v>
      </c>
      <c r="AI52" s="66">
        <f>'2b.FCosts'!AD57</f>
        <v>1</v>
      </c>
      <c r="AJ52" s="66">
        <f>'2b.FCosts'!AE57</f>
        <v>1</v>
      </c>
      <c r="AK52" s="66">
        <f>'2b.FCosts'!AF57</f>
        <v>1</v>
      </c>
    </row>
    <row r="53" spans="2:37" x14ac:dyDescent="0.55000000000000004">
      <c r="G53" s="63" t="s">
        <v>140</v>
      </c>
      <c r="H53" s="67">
        <f t="shared" ref="H53:L53" si="6">$J$49*H$52</f>
        <v>0</v>
      </c>
      <c r="I53" s="67">
        <f t="shared" si="6"/>
        <v>0</v>
      </c>
      <c r="J53" s="67">
        <f t="shared" si="6"/>
        <v>0</v>
      </c>
      <c r="K53" s="67">
        <f t="shared" si="6"/>
        <v>0</v>
      </c>
      <c r="L53" s="67">
        <f t="shared" si="6"/>
        <v>0</v>
      </c>
      <c r="M53" s="67">
        <f>$J$49*M$52</f>
        <v>82.777907949790787</v>
      </c>
      <c r="N53" s="67">
        <f t="shared" ref="N53:AK53" si="7">$J$49*N$52</f>
        <v>82.777907949790787</v>
      </c>
      <c r="O53" s="67">
        <f t="shared" si="7"/>
        <v>82.777907949790787</v>
      </c>
      <c r="P53" s="67">
        <f t="shared" si="7"/>
        <v>82.777907949790787</v>
      </c>
      <c r="Q53" s="67">
        <f t="shared" si="7"/>
        <v>82.777907949790787</v>
      </c>
      <c r="R53" s="67">
        <f t="shared" si="7"/>
        <v>82.777907949790787</v>
      </c>
      <c r="S53" s="67">
        <f t="shared" si="7"/>
        <v>82.777907949790787</v>
      </c>
      <c r="T53" s="67">
        <f t="shared" si="7"/>
        <v>82.777907949790787</v>
      </c>
      <c r="U53" s="67">
        <f t="shared" si="7"/>
        <v>82.777907949790787</v>
      </c>
      <c r="V53" s="67">
        <f t="shared" si="7"/>
        <v>82.777907949790787</v>
      </c>
      <c r="W53" s="67">
        <f t="shared" si="7"/>
        <v>82.777907949790787</v>
      </c>
      <c r="X53" s="67">
        <f t="shared" si="7"/>
        <v>82.777907949790787</v>
      </c>
      <c r="Y53" s="67">
        <f t="shared" si="7"/>
        <v>82.777907949790787</v>
      </c>
      <c r="Z53" s="67">
        <f t="shared" si="7"/>
        <v>82.777907949790787</v>
      </c>
      <c r="AA53" s="67">
        <f t="shared" si="7"/>
        <v>82.777907949790787</v>
      </c>
      <c r="AB53" s="67">
        <f t="shared" si="7"/>
        <v>82.777907949790787</v>
      </c>
      <c r="AC53" s="67">
        <f t="shared" si="7"/>
        <v>82.777907949790787</v>
      </c>
      <c r="AD53" s="67">
        <f t="shared" si="7"/>
        <v>82.777907949790787</v>
      </c>
      <c r="AE53" s="67">
        <f t="shared" si="7"/>
        <v>82.777907949790787</v>
      </c>
      <c r="AF53" s="67">
        <f t="shared" si="7"/>
        <v>82.777907949790787</v>
      </c>
      <c r="AG53" s="67">
        <f t="shared" si="7"/>
        <v>82.777907949790787</v>
      </c>
      <c r="AH53" s="67">
        <f t="shared" si="7"/>
        <v>82.777907949790787</v>
      </c>
      <c r="AI53" s="67">
        <f t="shared" si="7"/>
        <v>82.777907949790787</v>
      </c>
      <c r="AJ53" s="67">
        <f t="shared" si="7"/>
        <v>82.777907949790787</v>
      </c>
      <c r="AK53" s="67">
        <f t="shared" si="7"/>
        <v>82.777907949790787</v>
      </c>
    </row>
    <row r="56" spans="2:37" x14ac:dyDescent="0.55000000000000004">
      <c r="G56" s="10" t="s">
        <v>16</v>
      </c>
      <c r="H56"/>
      <c r="I56"/>
      <c r="J56"/>
      <c r="K56"/>
      <c r="L56"/>
      <c r="M56"/>
      <c r="N56"/>
      <c r="O56"/>
      <c r="P56"/>
      <c r="Q56"/>
      <c r="R56"/>
      <c r="S56"/>
      <c r="T56"/>
      <c r="U56"/>
      <c r="V56"/>
      <c r="W56"/>
      <c r="X56"/>
      <c r="Y56"/>
      <c r="Z56"/>
      <c r="AA56"/>
      <c r="AB56"/>
      <c r="AC56"/>
      <c r="AD56"/>
      <c r="AE56"/>
      <c r="AF56"/>
      <c r="AG56"/>
      <c r="AH56"/>
      <c r="AI56"/>
      <c r="AJ56"/>
      <c r="AK56"/>
    </row>
    <row r="57" spans="2:37" x14ac:dyDescent="0.55000000000000004">
      <c r="G57" s="17"/>
      <c r="H57" s="14">
        <v>1</v>
      </c>
      <c r="I57" s="12">
        <v>2</v>
      </c>
      <c r="J57" s="14">
        <v>3</v>
      </c>
      <c r="K57" s="12">
        <v>4</v>
      </c>
      <c r="L57" s="14">
        <v>5</v>
      </c>
      <c r="M57" s="82">
        <v>6</v>
      </c>
      <c r="N57" s="83">
        <v>7</v>
      </c>
      <c r="O57" s="82">
        <v>8</v>
      </c>
      <c r="P57" s="83">
        <v>9</v>
      </c>
      <c r="Q57" s="82">
        <v>10</v>
      </c>
      <c r="R57" s="83">
        <v>11</v>
      </c>
      <c r="S57" s="82">
        <v>12</v>
      </c>
      <c r="T57" s="83">
        <v>13</v>
      </c>
      <c r="U57" s="82">
        <v>14</v>
      </c>
      <c r="V57" s="83">
        <v>15</v>
      </c>
      <c r="W57" s="82">
        <v>16</v>
      </c>
      <c r="X57" s="83">
        <v>17</v>
      </c>
      <c r="Y57" s="82">
        <v>18</v>
      </c>
      <c r="Z57" s="83">
        <v>19</v>
      </c>
      <c r="AA57" s="82">
        <v>20</v>
      </c>
      <c r="AB57" s="83">
        <v>21</v>
      </c>
      <c r="AC57" s="82">
        <v>22</v>
      </c>
      <c r="AD57" s="83">
        <v>23</v>
      </c>
      <c r="AE57" s="82">
        <v>24</v>
      </c>
      <c r="AF57" s="83">
        <v>25</v>
      </c>
      <c r="AG57" s="82">
        <v>26</v>
      </c>
      <c r="AH57" s="83">
        <v>27</v>
      </c>
      <c r="AI57" s="82">
        <v>28</v>
      </c>
      <c r="AJ57" s="83">
        <v>29</v>
      </c>
      <c r="AK57" s="82">
        <v>30</v>
      </c>
    </row>
    <row r="58" spans="2:37" x14ac:dyDescent="0.55000000000000004">
      <c r="G58" s="209" t="s">
        <v>177</v>
      </c>
      <c r="H58" s="210">
        <f>'1.Params_8.Sensitivity'!$I$27</f>
        <v>13000</v>
      </c>
      <c r="I58" s="210">
        <f>ROUND(H$58*(1+'1.Params_8.Sensitivity'!$I$28),0)</f>
        <v>13178</v>
      </c>
      <c r="J58" s="210">
        <f>ROUND(I$58*(1+'1.Params_8.Sensitivity'!$I$28),0)</f>
        <v>13359</v>
      </c>
      <c r="K58" s="210">
        <f>ROUND(J$58*(1+'1.Params_8.Sensitivity'!$I$28),0)</f>
        <v>13542</v>
      </c>
      <c r="L58" s="210">
        <f>ROUND(K$58*(1+'1.Params_8.Sensitivity'!$I$28),0)</f>
        <v>13728</v>
      </c>
      <c r="M58" s="210">
        <f>ROUND(L$58*(1+'1.Params_8.Sensitivity'!$I$28),0)</f>
        <v>13916</v>
      </c>
      <c r="N58" s="210">
        <f>ROUND(M$58*(1+'1.Params_8.Sensitivity'!$I$28),0)</f>
        <v>14107</v>
      </c>
      <c r="O58" s="210">
        <f>ROUND(N$58*(1+'1.Params_8.Sensitivity'!$I$28),0)</f>
        <v>14300</v>
      </c>
      <c r="P58" s="210">
        <f>ROUND(O$58*(1+'1.Params_8.Sensitivity'!$I$28),0)</f>
        <v>14496</v>
      </c>
      <c r="Q58" s="210">
        <f>ROUND(P$58*(1+'1.Params_8.Sensitivity'!$I$28),0)</f>
        <v>14695</v>
      </c>
      <c r="R58" s="210">
        <f>ROUND(Q$58*(1+'1.Params_8.Sensitivity'!$I$28),0)</f>
        <v>14896</v>
      </c>
      <c r="S58" s="210">
        <f>ROUND(R$58*(1+'1.Params_8.Sensitivity'!$I$28),0)</f>
        <v>15100</v>
      </c>
      <c r="T58" s="210">
        <f>ROUND(S$58*(1+'1.Params_8.Sensitivity'!$I$28),0)</f>
        <v>15307</v>
      </c>
      <c r="U58" s="210">
        <f>ROUND(T$58*(1+'1.Params_8.Sensitivity'!$I$28),0)</f>
        <v>15517</v>
      </c>
      <c r="V58" s="210">
        <f>ROUND(U$58*(1+'1.Params_8.Sensitivity'!$I$28),0)</f>
        <v>15730</v>
      </c>
      <c r="W58" s="210">
        <f>ROUND(V$58*(1+'1.Params_8.Sensitivity'!$I$28),0)</f>
        <v>15946</v>
      </c>
      <c r="X58" s="210">
        <f>ROUND(W$58*(1+'1.Params_8.Sensitivity'!$I$28),0)</f>
        <v>16164</v>
      </c>
      <c r="Y58" s="210">
        <f>ROUND(X$58*(1+'1.Params_8.Sensitivity'!$I$28),0)</f>
        <v>16385</v>
      </c>
      <c r="Z58" s="210">
        <f>ROUND(Y$58*(1+'1.Params_8.Sensitivity'!$I$28),0)</f>
        <v>16609</v>
      </c>
      <c r="AA58" s="210">
        <f>ROUND(Z$58*(1+'1.Params_8.Sensitivity'!$I$28),0)</f>
        <v>16837</v>
      </c>
      <c r="AB58" s="210">
        <f>ROUND(AA$58*(1+'1.Params_8.Sensitivity'!$I$28),0)</f>
        <v>17068</v>
      </c>
      <c r="AC58" s="210">
        <f>ROUND(AB$58*(1+'1.Params_8.Sensitivity'!$I$28),0)</f>
        <v>17302</v>
      </c>
      <c r="AD58" s="210">
        <f>ROUND(AC$58*(1+'1.Params_8.Sensitivity'!$I$28),0)</f>
        <v>17539</v>
      </c>
      <c r="AE58" s="210">
        <f>ROUND(AD$58*(1+'1.Params_8.Sensitivity'!$I$28),0)</f>
        <v>17779</v>
      </c>
      <c r="AF58" s="210">
        <f>ROUND(AE$58*(1+'1.Params_8.Sensitivity'!$I$28),0)</f>
        <v>18023</v>
      </c>
      <c r="AG58" s="210">
        <f>ROUND(AF$58*(1+'1.Params_8.Sensitivity'!$I$28),0)</f>
        <v>18270</v>
      </c>
      <c r="AH58" s="210">
        <f>ROUND(AG$58*(1+'1.Params_8.Sensitivity'!$I$28),0)</f>
        <v>18520</v>
      </c>
      <c r="AI58" s="210">
        <f>ROUND(AH$58*(1+'1.Params_8.Sensitivity'!$I$28),0)</f>
        <v>18774</v>
      </c>
      <c r="AJ58" s="210">
        <f>ROUND(AI$58*(1+'1.Params_8.Sensitivity'!$I$28),0)</f>
        <v>19031</v>
      </c>
      <c r="AK58" s="210">
        <f>ROUND(AJ$58*(1+'1.Params_8.Sensitivity'!$I$28),0)</f>
        <v>19292</v>
      </c>
    </row>
    <row r="59" spans="2:37" x14ac:dyDescent="0.55000000000000004">
      <c r="G59" s="217" t="s">
        <v>217</v>
      </c>
      <c r="H59" s="215">
        <f>H$58/'1.Params_8.Sensitivity'!$I$29</f>
        <v>2500</v>
      </c>
      <c r="I59" s="215">
        <f>I$58/'1.Params_8.Sensitivity'!$I$29</f>
        <v>2534.2307692307691</v>
      </c>
      <c r="J59" s="215">
        <f>J$58/'1.Params_8.Sensitivity'!$I$29</f>
        <v>2569.0384615384614</v>
      </c>
      <c r="K59" s="215">
        <f>K$58/'1.Params_8.Sensitivity'!$I$29</f>
        <v>2604.2307692307691</v>
      </c>
      <c r="L59" s="215">
        <f>L$58/'1.Params_8.Sensitivity'!$I$29</f>
        <v>2640</v>
      </c>
      <c r="M59" s="215">
        <f>M$58/'1.Params_8.Sensitivity'!$I$29</f>
        <v>2676.1538461538462</v>
      </c>
      <c r="N59" s="215">
        <f>N$58/'1.Params_8.Sensitivity'!$I$29</f>
        <v>2712.8846153846152</v>
      </c>
      <c r="O59" s="215">
        <f>O$58/'1.Params_8.Sensitivity'!$I$29</f>
        <v>2750</v>
      </c>
      <c r="P59" s="215">
        <f>P$58/'1.Params_8.Sensitivity'!$I$29</f>
        <v>2787.6923076923076</v>
      </c>
      <c r="Q59" s="215">
        <f>Q$58/'1.Params_8.Sensitivity'!$I$29</f>
        <v>2825.9615384615386</v>
      </c>
      <c r="R59" s="215">
        <f>R$58/'1.Params_8.Sensitivity'!$I$29</f>
        <v>2864.6153846153843</v>
      </c>
      <c r="S59" s="215">
        <f>S$58/'1.Params_8.Sensitivity'!$I$29</f>
        <v>2903.8461538461538</v>
      </c>
      <c r="T59" s="215">
        <f>T$58/'1.Params_8.Sensitivity'!$I$29</f>
        <v>2943.6538461538462</v>
      </c>
      <c r="U59" s="215">
        <f>U$58/'1.Params_8.Sensitivity'!$I$29</f>
        <v>2984.0384615384614</v>
      </c>
      <c r="V59" s="215">
        <f>V$58/'1.Params_8.Sensitivity'!$I$29</f>
        <v>3025</v>
      </c>
      <c r="W59" s="215">
        <f>W$58/'1.Params_8.Sensitivity'!$I$29</f>
        <v>3066.5384615384614</v>
      </c>
      <c r="X59" s="215">
        <f>X$58/'1.Params_8.Sensitivity'!$I$29</f>
        <v>3108.4615384615386</v>
      </c>
      <c r="Y59" s="215">
        <f>Y$58/'1.Params_8.Sensitivity'!$I$29</f>
        <v>3150.9615384615386</v>
      </c>
      <c r="Z59" s="215">
        <f>Z$58/'1.Params_8.Sensitivity'!$I$29</f>
        <v>3194.0384615384614</v>
      </c>
      <c r="AA59" s="215">
        <f>AA$58/'1.Params_8.Sensitivity'!$I$29</f>
        <v>3237.8846153846152</v>
      </c>
      <c r="AB59" s="215">
        <f>AB$58/'1.Params_8.Sensitivity'!$I$29</f>
        <v>3282.3076923076924</v>
      </c>
      <c r="AC59" s="215">
        <f>AC$58/'1.Params_8.Sensitivity'!$I$29</f>
        <v>3327.3076923076924</v>
      </c>
      <c r="AD59" s="215">
        <f>AD$58/'1.Params_8.Sensitivity'!$I$29</f>
        <v>3372.8846153846152</v>
      </c>
      <c r="AE59" s="215">
        <f>AE$58/'1.Params_8.Sensitivity'!$I$29</f>
        <v>3419.0384615384614</v>
      </c>
      <c r="AF59" s="215">
        <f>AF$58/'1.Params_8.Sensitivity'!$I$29</f>
        <v>3465.9615384615386</v>
      </c>
      <c r="AG59" s="215">
        <f>AG$58/'1.Params_8.Sensitivity'!$I$29</f>
        <v>3513.4615384615386</v>
      </c>
      <c r="AH59" s="215">
        <f>AH$58/'1.Params_8.Sensitivity'!$I$29</f>
        <v>3561.5384615384614</v>
      </c>
      <c r="AI59" s="215">
        <f>AI$58/'1.Params_8.Sensitivity'!$I$29</f>
        <v>3610.3846153846152</v>
      </c>
      <c r="AJ59" s="215">
        <f>AJ$58/'1.Params_8.Sensitivity'!$I$29</f>
        <v>3659.8076923076924</v>
      </c>
      <c r="AK59" s="215">
        <f>AK$58/'1.Params_8.Sensitivity'!$I$29</f>
        <v>3710</v>
      </c>
    </row>
    <row r="60" spans="2:37" x14ac:dyDescent="0.55000000000000004">
      <c r="G60" s="28" t="s">
        <v>237</v>
      </c>
      <c r="H60" s="215">
        <f>H$59*'1.Params_8.Sensitivity'!$I$42*12/10^5</f>
        <v>6900</v>
      </c>
      <c r="I60" s="215">
        <f>I$59*'1.Params_8.Sensitivity'!$I$42*12/10^5</f>
        <v>6994.4769230769225</v>
      </c>
      <c r="J60" s="215">
        <f>J$59*'1.Params_8.Sensitivity'!$I$42*12/10^5</f>
        <v>7090.5461538461541</v>
      </c>
      <c r="K60" s="215">
        <f>K$59*'1.Params_8.Sensitivity'!$I$42*12/10^5</f>
        <v>7187.6769230769232</v>
      </c>
      <c r="L60" s="215">
        <f>L$59*'1.Params_8.Sensitivity'!$I$42*12/10^5</f>
        <v>7286.4</v>
      </c>
      <c r="M60" s="215">
        <f>M$59*'1.Params_8.Sensitivity'!$I$42*12/10^5</f>
        <v>7386.1846153846154</v>
      </c>
      <c r="N60" s="215">
        <f>N$59*'1.Params_8.Sensitivity'!$I$42*12/10^5</f>
        <v>7487.5615384615385</v>
      </c>
      <c r="O60" s="215">
        <f>O$59*'1.Params_8.Sensitivity'!$I$42*12/10^5</f>
        <v>7590</v>
      </c>
      <c r="P60" s="215">
        <f>P$59*'1.Params_8.Sensitivity'!$I$42*12/10^5</f>
        <v>7694.0307692307688</v>
      </c>
      <c r="Q60" s="215">
        <f>Q$59*'1.Params_8.Sensitivity'!$I$42*12/10^5</f>
        <v>7799.6538461538457</v>
      </c>
      <c r="R60" s="215">
        <f>R$59*'1.Params_8.Sensitivity'!$I$42*12/10^5</f>
        <v>7906.3384615384603</v>
      </c>
      <c r="S60" s="215">
        <f>S$59*'1.Params_8.Sensitivity'!$I$42*12/10^5</f>
        <v>8014.6153846153848</v>
      </c>
      <c r="T60" s="215">
        <f>T$59*'1.Params_8.Sensitivity'!$I$42*12/10^5</f>
        <v>8124.4846153846156</v>
      </c>
      <c r="U60" s="215">
        <f>U$59*'1.Params_8.Sensitivity'!$I$42*12/10^5</f>
        <v>8235.9461538461528</v>
      </c>
      <c r="V60" s="215">
        <f>V$59*'1.Params_8.Sensitivity'!$I$42*12/10^5</f>
        <v>8349</v>
      </c>
      <c r="W60" s="215">
        <f>W$59*'1.Params_8.Sensitivity'!$I$42*12/10^5</f>
        <v>8463.6461538461535</v>
      </c>
      <c r="X60" s="215">
        <f>X$59*'1.Params_8.Sensitivity'!$I$42*12/10^5</f>
        <v>8579.3538461538465</v>
      </c>
      <c r="Y60" s="215">
        <f>Y$59*'1.Params_8.Sensitivity'!$I$42*12/10^5</f>
        <v>8696.6538461538476</v>
      </c>
      <c r="Z60" s="215">
        <f>Z$59*'1.Params_8.Sensitivity'!$I$42*12/10^5</f>
        <v>8815.5461538461532</v>
      </c>
      <c r="AA60" s="215">
        <f>AA$59*'1.Params_8.Sensitivity'!$I$42*12/10^5</f>
        <v>8936.5615384615376</v>
      </c>
      <c r="AB60" s="215">
        <f>AB$59*'1.Params_8.Sensitivity'!$I$42*12/10^5</f>
        <v>9059.1692307692319</v>
      </c>
      <c r="AC60" s="215">
        <f>AC$59*'1.Params_8.Sensitivity'!$I$42*12/10^5</f>
        <v>9183.3692307692309</v>
      </c>
      <c r="AD60" s="215">
        <f>AD$59*'1.Params_8.Sensitivity'!$I$42*12/10^5</f>
        <v>9309.1615384615379</v>
      </c>
      <c r="AE60" s="215">
        <f>AE$59*'1.Params_8.Sensitivity'!$I$42*12/10^5</f>
        <v>9436.5461538461532</v>
      </c>
      <c r="AF60" s="215">
        <f>AF$59*'1.Params_8.Sensitivity'!$I$42*12/10^5</f>
        <v>9566.0538461538472</v>
      </c>
      <c r="AG60" s="215">
        <f>AG$59*'1.Params_8.Sensitivity'!$I$42*12/10^5</f>
        <v>9697.1538461538476</v>
      </c>
      <c r="AH60" s="215">
        <f>AH$59*'1.Params_8.Sensitivity'!$I$42*12/10^5</f>
        <v>9829.8461538461524</v>
      </c>
      <c r="AI60" s="215">
        <f>AI$59*'1.Params_8.Sensitivity'!$I$42*12/10^5</f>
        <v>9964.6615384615379</v>
      </c>
      <c r="AJ60" s="215">
        <f>AJ$59*'1.Params_8.Sensitivity'!$I$42*12/10^5</f>
        <v>10101.069230769232</v>
      </c>
      <c r="AK60" s="215">
        <f>AK$59*'1.Params_8.Sensitivity'!$I$42*12/10^5</f>
        <v>10239.6</v>
      </c>
    </row>
    <row r="61" spans="2:37" x14ac:dyDescent="0.55000000000000004">
      <c r="G61" s="214" t="s">
        <v>216</v>
      </c>
      <c r="H61" s="64">
        <v>1</v>
      </c>
      <c r="I61" s="7">
        <v>2</v>
      </c>
      <c r="J61" s="64">
        <v>3</v>
      </c>
      <c r="K61" s="7">
        <v>4</v>
      </c>
      <c r="L61" s="64">
        <v>5</v>
      </c>
      <c r="M61" s="85">
        <v>6</v>
      </c>
      <c r="N61" s="86">
        <v>7</v>
      </c>
      <c r="O61" s="85">
        <v>8</v>
      </c>
      <c r="P61" s="86">
        <v>9</v>
      </c>
      <c r="Q61" s="85">
        <v>10</v>
      </c>
      <c r="R61" s="86">
        <v>11</v>
      </c>
      <c r="S61" s="85">
        <v>12</v>
      </c>
      <c r="T61" s="86">
        <v>13</v>
      </c>
      <c r="U61" s="85">
        <v>14</v>
      </c>
      <c r="V61" s="86">
        <v>15</v>
      </c>
      <c r="W61" s="85">
        <v>16</v>
      </c>
      <c r="X61" s="86">
        <v>17</v>
      </c>
      <c r="Y61" s="85">
        <v>18</v>
      </c>
      <c r="Z61" s="86">
        <v>19</v>
      </c>
      <c r="AA61" s="85">
        <v>20</v>
      </c>
      <c r="AB61" s="86">
        <v>21</v>
      </c>
      <c r="AC61" s="85">
        <v>22</v>
      </c>
      <c r="AD61" s="86">
        <v>23</v>
      </c>
      <c r="AE61" s="85">
        <v>24</v>
      </c>
      <c r="AF61" s="86">
        <v>25</v>
      </c>
      <c r="AG61" s="85">
        <v>26</v>
      </c>
      <c r="AH61" s="86">
        <v>27</v>
      </c>
      <c r="AI61" s="85">
        <v>28</v>
      </c>
      <c r="AJ61" s="86">
        <v>29</v>
      </c>
      <c r="AK61" s="85">
        <v>30</v>
      </c>
    </row>
    <row r="62" spans="2:37" x14ac:dyDescent="0.55000000000000004">
      <c r="G62" s="218" t="s">
        <v>238</v>
      </c>
      <c r="H62" s="268">
        <v>0</v>
      </c>
      <c r="I62" s="268">
        <v>0</v>
      </c>
      <c r="J62" s="268">
        <v>0</v>
      </c>
      <c r="K62" s="268">
        <v>0</v>
      </c>
      <c r="L62" s="268">
        <v>0</v>
      </c>
      <c r="M62" s="216">
        <f>M$60*'1.Params_8.Sensitivity'!$I$43</f>
        <v>295.44738461538464</v>
      </c>
      <c r="N62" s="216">
        <f>N$60*'1.Params_8.Sensitivity'!$I$43</f>
        <v>299.50246153846155</v>
      </c>
      <c r="O62" s="216">
        <f>O$60*'1.Params_8.Sensitivity'!$I$43</f>
        <v>303.60000000000002</v>
      </c>
      <c r="P62" s="216">
        <f>P$60*'1.Params_8.Sensitivity'!$I$43</f>
        <v>307.76123076923074</v>
      </c>
      <c r="Q62" s="216">
        <f>Q$60*'1.Params_8.Sensitivity'!$I$43</f>
        <v>311.98615384615385</v>
      </c>
      <c r="R62" s="216">
        <f>R$60*'1.Params_8.Sensitivity'!$I$43</f>
        <v>316.25353846153843</v>
      </c>
      <c r="S62" s="216">
        <f>S$60*'1.Params_8.Sensitivity'!$I$43</f>
        <v>320.5846153846154</v>
      </c>
      <c r="T62" s="216">
        <f>T$60*'1.Params_8.Sensitivity'!$I$43</f>
        <v>324.97938461538462</v>
      </c>
      <c r="U62" s="216">
        <f>U$60*'1.Params_8.Sensitivity'!$I$43</f>
        <v>329.43784615384612</v>
      </c>
      <c r="V62" s="216">
        <f>V$60*'1.Params_8.Sensitivity'!$I$43</f>
        <v>333.96</v>
      </c>
      <c r="W62" s="216">
        <f>W$60*'1.Params_8.Sensitivity'!$I$43</f>
        <v>338.54584615384613</v>
      </c>
      <c r="X62" s="216">
        <f>X$60*'1.Params_8.Sensitivity'!$I$43</f>
        <v>343.17415384615384</v>
      </c>
      <c r="Y62" s="216">
        <f>Y$60*'1.Params_8.Sensitivity'!$I$43</f>
        <v>347.86615384615391</v>
      </c>
      <c r="Z62" s="216">
        <f>Z$60*'1.Params_8.Sensitivity'!$I$43</f>
        <v>352.62184615384615</v>
      </c>
      <c r="AA62" s="216">
        <f>AA$60*'1.Params_8.Sensitivity'!$I$43</f>
        <v>357.46246153846153</v>
      </c>
      <c r="AB62" s="216">
        <f>AB$60*'1.Params_8.Sensitivity'!$I$43</f>
        <v>362.36676923076931</v>
      </c>
      <c r="AC62" s="216">
        <f>AC$60*'1.Params_8.Sensitivity'!$I$43</f>
        <v>367.33476923076927</v>
      </c>
      <c r="AD62" s="216">
        <f>AD$60*'1.Params_8.Sensitivity'!$I$43</f>
        <v>372.36646153846152</v>
      </c>
      <c r="AE62" s="216">
        <f>AE$60*'1.Params_8.Sensitivity'!$I$43</f>
        <v>377.46184615384612</v>
      </c>
      <c r="AF62" s="216">
        <f>AF$60*'1.Params_8.Sensitivity'!$I$43</f>
        <v>382.64215384615392</v>
      </c>
      <c r="AG62" s="216">
        <f>AG$60*'1.Params_8.Sensitivity'!$I$43</f>
        <v>387.88615384615389</v>
      </c>
      <c r="AH62" s="216">
        <f>AH$60*'1.Params_8.Sensitivity'!$I$43</f>
        <v>393.1938461538461</v>
      </c>
      <c r="AI62" s="216">
        <f>AI$60*'1.Params_8.Sensitivity'!$I$43</f>
        <v>398.58646153846155</v>
      </c>
      <c r="AJ62" s="216">
        <f>AJ$60*'1.Params_8.Sensitivity'!$I$43</f>
        <v>404.0427692307693</v>
      </c>
      <c r="AK62" s="216">
        <f>AK$60*'1.Params_8.Sensitivity'!$I$43</f>
        <v>409.584</v>
      </c>
    </row>
  </sheetData>
  <sheetProtection algorithmName="SHA-512" hashValue="60CibWtAPZdjXtGbtLwtNIYk7FcbwgaJzEuez5VKwkoySKWviL8PRfhKdN659xFLsdAhtzpknQINmGoaYVGS3w==" saltValue="68R0f88/CYGY3Efq/3r8EA==" spinCount="100000" sheet="1" objects="1" scenarios="1" autoFilter="0"/>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B826-2F8F-4B0A-95F0-F4C3BBC97FA3}">
  <sheetPr codeName="Sheet9">
    <tabColor theme="5" tint="0.59999389629810485"/>
  </sheetPr>
  <dimension ref="A1:AF26"/>
  <sheetViews>
    <sheetView zoomScale="80" zoomScaleNormal="80" workbookViewId="0">
      <pane xSplit="1" ySplit="1" topLeftCell="B2" activePane="bottomRight" state="frozen"/>
      <selection pane="topRight" activeCell="B1" sqref="B1"/>
      <selection pane="bottomLeft" activeCell="A2" sqref="A2"/>
      <selection pane="bottomRight"/>
    </sheetView>
  </sheetViews>
  <sheetFormatPr defaultRowHeight="18" x14ac:dyDescent="0.55000000000000004"/>
  <cols>
    <col min="1" max="1" width="2.58203125" customWidth="1"/>
    <col min="2" max="2" width="67.4140625" customWidth="1"/>
    <col min="3" max="3" width="10.4140625" customWidth="1"/>
    <col min="4" max="6" width="10.4140625" hidden="1" customWidth="1"/>
    <col min="7" max="9" width="10.4140625" customWidth="1"/>
    <col min="10" max="30" width="10.4140625" hidden="1" customWidth="1"/>
    <col min="31" max="32" width="10.4140625" customWidth="1"/>
  </cols>
  <sheetData>
    <row r="1" spans="1:32" s="3" customFormat="1" ht="20" x14ac:dyDescent="0.6">
      <c r="A1" s="5" t="str">
        <f>"Economic Benefits ("&amp;MID('0.Contents'!A1,20,(LEN('0.Contents'!A1)-20))&amp;")"</f>
        <v>Economic Benefits (Rural Infrastructure Development)</v>
      </c>
    </row>
    <row r="2" spans="1:32" ht="20" x14ac:dyDescent="0.6">
      <c r="A2" s="6"/>
      <c r="B2" s="10" t="s">
        <v>215</v>
      </c>
    </row>
    <row r="3" spans="1:32" x14ac:dyDescent="0.55000000000000004">
      <c r="B3" s="17"/>
      <c r="C3" s="14">
        <v>1</v>
      </c>
      <c r="D3" s="12">
        <v>2</v>
      </c>
      <c r="E3" s="14">
        <v>3</v>
      </c>
      <c r="F3" s="12">
        <v>4</v>
      </c>
      <c r="G3" s="14">
        <v>5</v>
      </c>
      <c r="H3" s="82">
        <v>6</v>
      </c>
      <c r="I3" s="83">
        <v>7</v>
      </c>
      <c r="J3" s="82">
        <v>8</v>
      </c>
      <c r="K3" s="83">
        <v>9</v>
      </c>
      <c r="L3" s="82">
        <v>10</v>
      </c>
      <c r="M3" s="83">
        <v>11</v>
      </c>
      <c r="N3" s="82">
        <v>12</v>
      </c>
      <c r="O3" s="83">
        <v>13</v>
      </c>
      <c r="P3" s="82">
        <v>14</v>
      </c>
      <c r="Q3" s="83">
        <v>15</v>
      </c>
      <c r="R3" s="82">
        <v>16</v>
      </c>
      <c r="S3" s="83">
        <v>17</v>
      </c>
      <c r="T3" s="82">
        <v>18</v>
      </c>
      <c r="U3" s="83">
        <v>19</v>
      </c>
      <c r="V3" s="82">
        <v>20</v>
      </c>
      <c r="W3" s="83">
        <v>21</v>
      </c>
      <c r="X3" s="82">
        <v>22</v>
      </c>
      <c r="Y3" s="83">
        <v>23</v>
      </c>
      <c r="Z3" s="82">
        <v>24</v>
      </c>
      <c r="AA3" s="83">
        <v>25</v>
      </c>
      <c r="AB3" s="82">
        <v>26</v>
      </c>
      <c r="AC3" s="83">
        <v>27</v>
      </c>
      <c r="AD3" s="82">
        <v>28</v>
      </c>
      <c r="AE3" s="83">
        <v>29</v>
      </c>
      <c r="AF3" s="82">
        <v>30</v>
      </c>
    </row>
    <row r="4" spans="1:32" x14ac:dyDescent="0.55000000000000004">
      <c r="B4" s="209" t="s">
        <v>194</v>
      </c>
      <c r="C4" s="210">
        <f>'1.Params_8.Sensitivity'!$I$10</f>
        <v>35000</v>
      </c>
      <c r="D4" s="210">
        <f>ROUND(C$4*(1+'1.Params_8.Sensitivity'!$I$11),0)</f>
        <v>35480</v>
      </c>
      <c r="E4" s="210">
        <f>ROUND(D$4*(1+'1.Params_8.Sensitivity'!$I$11),0)</f>
        <v>35966</v>
      </c>
      <c r="F4" s="210">
        <f>ROUND(E$4*(1+'1.Params_8.Sensitivity'!$I$11),0)</f>
        <v>36459</v>
      </c>
      <c r="G4" s="210">
        <f>ROUND(F$4*(1+'1.Params_8.Sensitivity'!$I$11),0)</f>
        <v>36958</v>
      </c>
      <c r="H4" s="210">
        <f>ROUND(G$4*(1+'1.Params_8.Sensitivity'!$I$11),0)</f>
        <v>37464</v>
      </c>
      <c r="I4" s="210">
        <f>ROUND(H$4*(1+'1.Params_8.Sensitivity'!$I$11),0)</f>
        <v>37977</v>
      </c>
      <c r="J4" s="210">
        <f>ROUND(I$4*(1+'1.Params_8.Sensitivity'!$I$11),0)</f>
        <v>38497</v>
      </c>
      <c r="K4" s="210">
        <f>ROUND(J$4*(1+'1.Params_8.Sensitivity'!$I$11),0)</f>
        <v>39024</v>
      </c>
      <c r="L4" s="210">
        <f>ROUND(K$4*(1+'1.Params_8.Sensitivity'!$I$11),0)</f>
        <v>39559</v>
      </c>
      <c r="M4" s="210">
        <f>ROUND(L$4*(1+'1.Params_8.Sensitivity'!$I$11),0)</f>
        <v>40101</v>
      </c>
      <c r="N4" s="210">
        <f>ROUND(M$4*(1+'1.Params_8.Sensitivity'!$I$11),0)</f>
        <v>40650</v>
      </c>
      <c r="O4" s="210">
        <f>ROUND(N$4*(1+'1.Params_8.Sensitivity'!$I$11),0)</f>
        <v>41207</v>
      </c>
      <c r="P4" s="210">
        <f>ROUND(O$4*(1+'1.Params_8.Sensitivity'!$I$11),0)</f>
        <v>41772</v>
      </c>
      <c r="Q4" s="210">
        <f>ROUND(P$4*(1+'1.Params_8.Sensitivity'!$I$11),0)</f>
        <v>42344</v>
      </c>
      <c r="R4" s="210">
        <f>ROUND(Q$4*(1+'1.Params_8.Sensitivity'!$I$11),0)</f>
        <v>42924</v>
      </c>
      <c r="S4" s="210">
        <f>ROUND(R$4*(1+'1.Params_8.Sensitivity'!$I$11),0)</f>
        <v>43512</v>
      </c>
      <c r="T4" s="210">
        <f>ROUND(S$4*(1+'1.Params_8.Sensitivity'!$I$11),0)</f>
        <v>44108</v>
      </c>
      <c r="U4" s="210">
        <f>ROUND(T$4*(1+'1.Params_8.Sensitivity'!$I$11),0)</f>
        <v>44712</v>
      </c>
      <c r="V4" s="210">
        <f>ROUND(U$4*(1+'1.Params_8.Sensitivity'!$I$11),0)</f>
        <v>45325</v>
      </c>
      <c r="W4" s="210">
        <f>ROUND(V$4*(1+'1.Params_8.Sensitivity'!$I$11),0)</f>
        <v>45946</v>
      </c>
      <c r="X4" s="210">
        <f>ROUND(W$4*(1+'1.Params_8.Sensitivity'!$I$11),0)</f>
        <v>46575</v>
      </c>
      <c r="Y4" s="210">
        <f>ROUND(X$4*(1+'1.Params_8.Sensitivity'!$I$11),0)</f>
        <v>47213</v>
      </c>
      <c r="Z4" s="210">
        <f>ROUND(Y$4*(1+'1.Params_8.Sensitivity'!$I$11),0)</f>
        <v>47860</v>
      </c>
      <c r="AA4" s="210">
        <f>ROUND(Z$4*(1+'1.Params_8.Sensitivity'!$I$11),0)</f>
        <v>48516</v>
      </c>
      <c r="AB4" s="210">
        <f>ROUND(AA$4*(1+'1.Params_8.Sensitivity'!$I$11),0)</f>
        <v>49181</v>
      </c>
      <c r="AC4" s="210">
        <f>ROUND(AB$4*(1+'1.Params_8.Sensitivity'!$I$11),0)</f>
        <v>49855</v>
      </c>
      <c r="AD4" s="210">
        <f>ROUND(AC$4*(1+'1.Params_8.Sensitivity'!$I$11),0)</f>
        <v>50538</v>
      </c>
      <c r="AE4" s="210">
        <f>ROUND(AD$4*(1+'1.Params_8.Sensitivity'!$I$11),0)</f>
        <v>51230</v>
      </c>
      <c r="AF4" s="210">
        <f>ROUND(AE$4*(1+'1.Params_8.Sensitivity'!$I$11),0)</f>
        <v>51932</v>
      </c>
    </row>
    <row r="5" spans="1:32" x14ac:dyDescent="0.55000000000000004">
      <c r="B5" s="213" t="s">
        <v>195</v>
      </c>
      <c r="C5" s="54">
        <f>ROUND(C$4/'1.Params_8.Sensitivity'!$I$12,0)</f>
        <v>6731</v>
      </c>
      <c r="D5" s="54">
        <f>ROUND(D$4/'1.Params_8.Sensitivity'!$I$12,0)</f>
        <v>6823</v>
      </c>
      <c r="E5" s="54">
        <f>ROUND(E$4/'1.Params_8.Sensitivity'!$I$12,0)</f>
        <v>6917</v>
      </c>
      <c r="F5" s="54">
        <f>ROUND(F$4/'1.Params_8.Sensitivity'!$I$12,0)</f>
        <v>7011</v>
      </c>
      <c r="G5" s="54">
        <f>ROUND(G$4/'1.Params_8.Sensitivity'!$I$12,0)</f>
        <v>7107</v>
      </c>
      <c r="H5" s="54">
        <f>ROUND(H$4/'1.Params_8.Sensitivity'!$I$12,0)</f>
        <v>7205</v>
      </c>
      <c r="I5" s="54">
        <f>ROUND(I$4/'1.Params_8.Sensitivity'!$I$12,0)</f>
        <v>7303</v>
      </c>
      <c r="J5" s="54">
        <f>ROUND(J$4/'1.Params_8.Sensitivity'!$I$12,0)</f>
        <v>7403</v>
      </c>
      <c r="K5" s="54">
        <f>ROUND(K$4/'1.Params_8.Sensitivity'!$I$12,0)</f>
        <v>7505</v>
      </c>
      <c r="L5" s="54">
        <f>ROUND(L$4/'1.Params_8.Sensitivity'!$I$12,0)</f>
        <v>7608</v>
      </c>
      <c r="M5" s="54">
        <f>ROUND(M$4/'1.Params_8.Sensitivity'!$I$12,0)</f>
        <v>7712</v>
      </c>
      <c r="N5" s="54">
        <f>ROUND(N$4/'1.Params_8.Sensitivity'!$I$12,0)</f>
        <v>7817</v>
      </c>
      <c r="O5" s="54">
        <f>ROUND(O$4/'1.Params_8.Sensitivity'!$I$12,0)</f>
        <v>7924</v>
      </c>
      <c r="P5" s="54">
        <f>ROUND(P$4/'1.Params_8.Sensitivity'!$I$12,0)</f>
        <v>8033</v>
      </c>
      <c r="Q5" s="54">
        <f>ROUND(Q$4/'1.Params_8.Sensitivity'!$I$12,0)</f>
        <v>8143</v>
      </c>
      <c r="R5" s="54">
        <f>ROUND(R$4/'1.Params_8.Sensitivity'!$I$12,0)</f>
        <v>8255</v>
      </c>
      <c r="S5" s="54">
        <f>ROUND(S$4/'1.Params_8.Sensitivity'!$I$12,0)</f>
        <v>8368</v>
      </c>
      <c r="T5" s="54">
        <f>ROUND(T$4/'1.Params_8.Sensitivity'!$I$12,0)</f>
        <v>8482</v>
      </c>
      <c r="U5" s="54">
        <f>ROUND(U$4/'1.Params_8.Sensitivity'!$I$12,0)</f>
        <v>8598</v>
      </c>
      <c r="V5" s="54">
        <f>ROUND(V$4/'1.Params_8.Sensitivity'!$I$12,0)</f>
        <v>8716</v>
      </c>
      <c r="W5" s="54">
        <f>ROUND(W$4/'1.Params_8.Sensitivity'!$I$12,0)</f>
        <v>8836</v>
      </c>
      <c r="X5" s="54">
        <f>ROUND(X$4/'1.Params_8.Sensitivity'!$I$12,0)</f>
        <v>8957</v>
      </c>
      <c r="Y5" s="54">
        <f>ROUND(Y$4/'1.Params_8.Sensitivity'!$I$12,0)</f>
        <v>9079</v>
      </c>
      <c r="Z5" s="54">
        <f>ROUND(Z$4/'1.Params_8.Sensitivity'!$I$12,0)</f>
        <v>9204</v>
      </c>
      <c r="AA5" s="54">
        <f>ROUND(AA$4/'1.Params_8.Sensitivity'!$I$12,0)</f>
        <v>9330</v>
      </c>
      <c r="AB5" s="54">
        <f>ROUND(AB$4/'1.Params_8.Sensitivity'!$I$12,0)</f>
        <v>9458</v>
      </c>
      <c r="AC5" s="54">
        <f>ROUND(AC$4/'1.Params_8.Sensitivity'!$I$12,0)</f>
        <v>9588</v>
      </c>
      <c r="AD5" s="54">
        <f>ROUND(AD$4/'1.Params_8.Sensitivity'!$I$12,0)</f>
        <v>9719</v>
      </c>
      <c r="AE5" s="54">
        <f>ROUND(AE$4/'1.Params_8.Sensitivity'!$I$12,0)</f>
        <v>9852</v>
      </c>
      <c r="AF5" s="54">
        <f>ROUND(AF$4/'1.Params_8.Sensitivity'!$I$12,0)</f>
        <v>9987</v>
      </c>
    </row>
    <row r="6" spans="1:32" x14ac:dyDescent="0.55000000000000004">
      <c r="B6" s="4" t="s">
        <v>155</v>
      </c>
      <c r="C6" s="197">
        <f>ROUND(C$5*'1.Params_8.Sensitivity'!$I$14,0)</f>
        <v>3029</v>
      </c>
      <c r="D6" s="197">
        <f>ROUND(D$5*'1.Params_8.Sensitivity'!$I$14,0)</f>
        <v>3070</v>
      </c>
      <c r="E6" s="197">
        <f>ROUND(E$5*'1.Params_8.Sensitivity'!$I$14,0)</f>
        <v>3113</v>
      </c>
      <c r="F6" s="197">
        <f>ROUND(F$5*'1.Params_8.Sensitivity'!$I$14,0)</f>
        <v>3155</v>
      </c>
      <c r="G6" s="197">
        <f>ROUND(G$5*'1.Params_8.Sensitivity'!$I$14,0)</f>
        <v>3198</v>
      </c>
      <c r="H6" s="197">
        <f>ROUND(H$5*'1.Params_8.Sensitivity'!$I$14,0)</f>
        <v>3242</v>
      </c>
      <c r="I6" s="197">
        <f>ROUND(I$5*'1.Params_8.Sensitivity'!$I$14,0)</f>
        <v>3286</v>
      </c>
      <c r="J6" s="197">
        <f>ROUND(J$5*'1.Params_8.Sensitivity'!$I$14,0)</f>
        <v>3331</v>
      </c>
      <c r="K6" s="197">
        <f>ROUND(K$5*'1.Params_8.Sensitivity'!$I$14,0)</f>
        <v>3377</v>
      </c>
      <c r="L6" s="197">
        <f>ROUND(L$5*'1.Params_8.Sensitivity'!$I$14,0)</f>
        <v>3424</v>
      </c>
      <c r="M6" s="197">
        <f>ROUND(M$5*'1.Params_8.Sensitivity'!$I$14,0)</f>
        <v>3470</v>
      </c>
      <c r="N6" s="197">
        <f>ROUND(N$5*'1.Params_8.Sensitivity'!$I$14,0)</f>
        <v>3518</v>
      </c>
      <c r="O6" s="197">
        <f>ROUND(O$5*'1.Params_8.Sensitivity'!$I$14,0)</f>
        <v>3566</v>
      </c>
      <c r="P6" s="197">
        <f>ROUND(P$5*'1.Params_8.Sensitivity'!$I$14,0)</f>
        <v>3615</v>
      </c>
      <c r="Q6" s="197">
        <f>ROUND(Q$5*'1.Params_8.Sensitivity'!$I$14,0)</f>
        <v>3664</v>
      </c>
      <c r="R6" s="197">
        <f>ROUND(R$5*'1.Params_8.Sensitivity'!$I$14,0)</f>
        <v>3715</v>
      </c>
      <c r="S6" s="197">
        <f>ROUND(S$5*'1.Params_8.Sensitivity'!$I$14,0)</f>
        <v>3766</v>
      </c>
      <c r="T6" s="197">
        <f>ROUND(T$5*'1.Params_8.Sensitivity'!$I$14,0)</f>
        <v>3817</v>
      </c>
      <c r="U6" s="197">
        <f>ROUND(U$5*'1.Params_8.Sensitivity'!$I$14,0)</f>
        <v>3869</v>
      </c>
      <c r="V6" s="197">
        <f>ROUND(V$5*'1.Params_8.Sensitivity'!$I$14,0)</f>
        <v>3922</v>
      </c>
      <c r="W6" s="197">
        <f>ROUND(W$5*'1.Params_8.Sensitivity'!$I$14,0)</f>
        <v>3976</v>
      </c>
      <c r="X6" s="197">
        <f>ROUND(X$5*'1.Params_8.Sensitivity'!$I$14,0)</f>
        <v>4031</v>
      </c>
      <c r="Y6" s="197">
        <f>ROUND(Y$5*'1.Params_8.Sensitivity'!$I$14,0)</f>
        <v>4086</v>
      </c>
      <c r="Z6" s="197">
        <f>ROUND(Z$5*'1.Params_8.Sensitivity'!$I$14,0)</f>
        <v>4142</v>
      </c>
      <c r="AA6" s="197">
        <f>ROUND(AA$5*'1.Params_8.Sensitivity'!$I$14,0)</f>
        <v>4199</v>
      </c>
      <c r="AB6" s="197">
        <f>ROUND(AB$5*'1.Params_8.Sensitivity'!$I$14,0)</f>
        <v>4256</v>
      </c>
      <c r="AC6" s="197">
        <f>ROUND(AC$5*'1.Params_8.Sensitivity'!$I$14,0)</f>
        <v>4315</v>
      </c>
      <c r="AD6" s="197">
        <f>ROUND(AD$5*'1.Params_8.Sensitivity'!$I$14,0)</f>
        <v>4374</v>
      </c>
      <c r="AE6" s="197">
        <f>ROUND(AE$5*'1.Params_8.Sensitivity'!$I$14,0)</f>
        <v>4433</v>
      </c>
      <c r="AF6" s="197">
        <f>ROUND(AF$5*'1.Params_8.Sensitivity'!$I$14,0)</f>
        <v>4494</v>
      </c>
    </row>
    <row r="7" spans="1:32" x14ac:dyDescent="0.55000000000000004">
      <c r="B7" s="4" t="s">
        <v>205</v>
      </c>
      <c r="C7" s="197">
        <f>ROUND(C$5*'1.Params_8.Sensitivity'!$I$16,0)</f>
        <v>505</v>
      </c>
      <c r="D7" s="197">
        <f>ROUND(D$5*'1.Params_8.Sensitivity'!$I$16,0)</f>
        <v>512</v>
      </c>
      <c r="E7" s="197">
        <f>ROUND(E$5*'1.Params_8.Sensitivity'!$I$16,0)</f>
        <v>519</v>
      </c>
      <c r="F7" s="197">
        <f>ROUND(F$5*'1.Params_8.Sensitivity'!$I$16,0)</f>
        <v>526</v>
      </c>
      <c r="G7" s="197">
        <f>ROUND(G$5*'1.Params_8.Sensitivity'!$I$16,0)</f>
        <v>533</v>
      </c>
      <c r="H7" s="197">
        <f>ROUND(H$5*'1.Params_8.Sensitivity'!$I$16,0)</f>
        <v>540</v>
      </c>
      <c r="I7" s="197">
        <f>ROUND(I$5*'1.Params_8.Sensitivity'!$I$16,0)</f>
        <v>548</v>
      </c>
      <c r="J7" s="197">
        <f>ROUND(J$5*'1.Params_8.Sensitivity'!$I$16,0)</f>
        <v>555</v>
      </c>
      <c r="K7" s="197">
        <f>ROUND(K$5*'1.Params_8.Sensitivity'!$I$16,0)</f>
        <v>563</v>
      </c>
      <c r="L7" s="197">
        <f>ROUND(L$5*'1.Params_8.Sensitivity'!$I$16,0)</f>
        <v>571</v>
      </c>
      <c r="M7" s="197">
        <f>ROUND(M$5*'1.Params_8.Sensitivity'!$I$16,0)</f>
        <v>578</v>
      </c>
      <c r="N7" s="197">
        <f>ROUND(N$5*'1.Params_8.Sensitivity'!$I$16,0)</f>
        <v>586</v>
      </c>
      <c r="O7" s="197">
        <f>ROUND(O$5*'1.Params_8.Sensitivity'!$I$16,0)</f>
        <v>594</v>
      </c>
      <c r="P7" s="197">
        <f>ROUND(P$5*'1.Params_8.Sensitivity'!$I$16,0)</f>
        <v>602</v>
      </c>
      <c r="Q7" s="197">
        <f>ROUND(Q$5*'1.Params_8.Sensitivity'!$I$16,0)</f>
        <v>611</v>
      </c>
      <c r="R7" s="197">
        <f>ROUND(R$5*'1.Params_8.Sensitivity'!$I$16,0)</f>
        <v>619</v>
      </c>
      <c r="S7" s="197">
        <f>ROUND(S$5*'1.Params_8.Sensitivity'!$I$16,0)</f>
        <v>628</v>
      </c>
      <c r="T7" s="197">
        <f>ROUND(T$5*'1.Params_8.Sensitivity'!$I$16,0)</f>
        <v>636</v>
      </c>
      <c r="U7" s="197">
        <f>ROUND(U$5*'1.Params_8.Sensitivity'!$I$16,0)</f>
        <v>645</v>
      </c>
      <c r="V7" s="197">
        <f>ROUND(V$5*'1.Params_8.Sensitivity'!$I$16,0)</f>
        <v>654</v>
      </c>
      <c r="W7" s="197">
        <f>ROUND(W$5*'1.Params_8.Sensitivity'!$I$16,0)</f>
        <v>663</v>
      </c>
      <c r="X7" s="197">
        <f>ROUND(X$5*'1.Params_8.Sensitivity'!$I$16,0)</f>
        <v>672</v>
      </c>
      <c r="Y7" s="197">
        <f>ROUND(Y$5*'1.Params_8.Sensitivity'!$I$16,0)</f>
        <v>681</v>
      </c>
      <c r="Z7" s="197">
        <f>ROUND(Z$5*'1.Params_8.Sensitivity'!$I$16,0)</f>
        <v>690</v>
      </c>
      <c r="AA7" s="197">
        <f>ROUND(AA$5*'1.Params_8.Sensitivity'!$I$16,0)</f>
        <v>700</v>
      </c>
      <c r="AB7" s="197">
        <f>ROUND(AB$5*'1.Params_8.Sensitivity'!$I$16,0)</f>
        <v>709</v>
      </c>
      <c r="AC7" s="197">
        <f>ROUND(AC$5*'1.Params_8.Sensitivity'!$I$16,0)</f>
        <v>719</v>
      </c>
      <c r="AD7" s="197">
        <f>ROUND(AD$5*'1.Params_8.Sensitivity'!$I$16,0)</f>
        <v>729</v>
      </c>
      <c r="AE7" s="197">
        <f>ROUND(AE$5*'1.Params_8.Sensitivity'!$I$16,0)</f>
        <v>739</v>
      </c>
      <c r="AF7" s="197">
        <f>ROUND(AF$5*'1.Params_8.Sensitivity'!$I$16,0)</f>
        <v>749</v>
      </c>
    </row>
    <row r="8" spans="1:32" x14ac:dyDescent="0.55000000000000004">
      <c r="B8" s="4" t="s">
        <v>233</v>
      </c>
      <c r="C8" s="197">
        <f>ROUND(C$4*'1.Params_8.Sensitivity'!$I$18,0)</f>
        <v>7000</v>
      </c>
      <c r="D8" s="197">
        <f>ROUND(D$4*'1.Params_8.Sensitivity'!$I$18,0)</f>
        <v>7096</v>
      </c>
      <c r="E8" s="197">
        <f>ROUND(E$4*'1.Params_8.Sensitivity'!$I$18,0)</f>
        <v>7193</v>
      </c>
      <c r="F8" s="197">
        <f>ROUND(F$4*'1.Params_8.Sensitivity'!$I$18,0)</f>
        <v>7292</v>
      </c>
      <c r="G8" s="197">
        <f>ROUND(G$4*'1.Params_8.Sensitivity'!$I$18,0)</f>
        <v>7392</v>
      </c>
      <c r="H8" s="197">
        <f>ROUND(H$4*'1.Params_8.Sensitivity'!$I$18,0)</f>
        <v>7493</v>
      </c>
      <c r="I8" s="197">
        <f>ROUND(I$4*'1.Params_8.Sensitivity'!$I$18,0)</f>
        <v>7595</v>
      </c>
      <c r="J8" s="197">
        <f>ROUND(J$4*'1.Params_8.Sensitivity'!$I$18,0)</f>
        <v>7699</v>
      </c>
      <c r="K8" s="197">
        <f>ROUND(K$4*'1.Params_8.Sensitivity'!$I$18,0)</f>
        <v>7805</v>
      </c>
      <c r="L8" s="197">
        <f>ROUND(L$4*'1.Params_8.Sensitivity'!$I$18,0)</f>
        <v>7912</v>
      </c>
      <c r="M8" s="197">
        <f>ROUND(M$4*'1.Params_8.Sensitivity'!$I$18,0)</f>
        <v>8020</v>
      </c>
      <c r="N8" s="197">
        <f>ROUND(N$4*'1.Params_8.Sensitivity'!$I$18,0)</f>
        <v>8130</v>
      </c>
      <c r="O8" s="197">
        <f>ROUND(O$4*'1.Params_8.Sensitivity'!$I$18,0)</f>
        <v>8241</v>
      </c>
      <c r="P8" s="197">
        <f>ROUND(P$4*'1.Params_8.Sensitivity'!$I$18,0)</f>
        <v>8354</v>
      </c>
      <c r="Q8" s="197">
        <f>ROUND(Q$4*'1.Params_8.Sensitivity'!$I$18,0)</f>
        <v>8469</v>
      </c>
      <c r="R8" s="197">
        <f>ROUND(R$4*'1.Params_8.Sensitivity'!$I$18,0)</f>
        <v>8585</v>
      </c>
      <c r="S8" s="197">
        <f>ROUND(S$4*'1.Params_8.Sensitivity'!$I$18,0)</f>
        <v>8702</v>
      </c>
      <c r="T8" s="197">
        <f>ROUND(T$4*'1.Params_8.Sensitivity'!$I$18,0)</f>
        <v>8822</v>
      </c>
      <c r="U8" s="197">
        <f>ROUND(U$4*'1.Params_8.Sensitivity'!$I$18,0)</f>
        <v>8942</v>
      </c>
      <c r="V8" s="197">
        <f>ROUND(V$4*'1.Params_8.Sensitivity'!$I$18,0)</f>
        <v>9065</v>
      </c>
      <c r="W8" s="197">
        <f>ROUND(W$4*'1.Params_8.Sensitivity'!$I$18,0)</f>
        <v>9189</v>
      </c>
      <c r="X8" s="197">
        <f>ROUND(X$4*'1.Params_8.Sensitivity'!$I$18,0)</f>
        <v>9315</v>
      </c>
      <c r="Y8" s="197">
        <f>ROUND(Y$4*'1.Params_8.Sensitivity'!$I$18,0)</f>
        <v>9443</v>
      </c>
      <c r="Z8" s="197">
        <f>ROUND(Z$4*'1.Params_8.Sensitivity'!$I$18,0)</f>
        <v>9572</v>
      </c>
      <c r="AA8" s="197">
        <f>ROUND(AA$4*'1.Params_8.Sensitivity'!$I$18,0)</f>
        <v>9703</v>
      </c>
      <c r="AB8" s="197">
        <f>ROUND(AB$4*'1.Params_8.Sensitivity'!$I$18,0)</f>
        <v>9836</v>
      </c>
      <c r="AC8" s="197">
        <f>ROUND(AC$4*'1.Params_8.Sensitivity'!$I$18,0)</f>
        <v>9971</v>
      </c>
      <c r="AD8" s="197">
        <f>ROUND(AD$4*'1.Params_8.Sensitivity'!$I$18,0)</f>
        <v>10108</v>
      </c>
      <c r="AE8" s="197">
        <f>ROUND(AE$4*'1.Params_8.Sensitivity'!$I$18,0)</f>
        <v>10246</v>
      </c>
      <c r="AF8" s="197">
        <f>ROUND(AF$4*'1.Params_8.Sensitivity'!$I$18,0)</f>
        <v>10386</v>
      </c>
    </row>
    <row r="9" spans="1:32" x14ac:dyDescent="0.55000000000000004">
      <c r="B9" s="4" t="s">
        <v>196</v>
      </c>
      <c r="C9" s="197">
        <f>ROUND(C$8*'1.Params_8.Sensitivity'!$I$20,0)</f>
        <v>700</v>
      </c>
      <c r="D9" s="197">
        <f>ROUND(D$8*'1.Params_8.Sensitivity'!$I$20,0)</f>
        <v>710</v>
      </c>
      <c r="E9" s="197">
        <f>ROUND(E$8*'1.Params_8.Sensitivity'!$I$20,0)</f>
        <v>719</v>
      </c>
      <c r="F9" s="197">
        <f>ROUND(F$8*'1.Params_8.Sensitivity'!$I$20,0)</f>
        <v>729</v>
      </c>
      <c r="G9" s="197">
        <f>ROUND(G$8*'1.Params_8.Sensitivity'!$I$20,0)</f>
        <v>739</v>
      </c>
      <c r="H9" s="197">
        <f>ROUND(H$8*'1.Params_8.Sensitivity'!$I$20,0)</f>
        <v>749</v>
      </c>
      <c r="I9" s="197">
        <f>ROUND(I$8*'1.Params_8.Sensitivity'!$I$20,0)</f>
        <v>760</v>
      </c>
      <c r="J9" s="197">
        <f>ROUND(J$8*'1.Params_8.Sensitivity'!$I$20,0)</f>
        <v>770</v>
      </c>
      <c r="K9" s="197">
        <f>ROUND(K$8*'1.Params_8.Sensitivity'!$I$20,0)</f>
        <v>781</v>
      </c>
      <c r="L9" s="197">
        <f>ROUND(L$8*'1.Params_8.Sensitivity'!$I$20,0)</f>
        <v>791</v>
      </c>
      <c r="M9" s="197">
        <f>ROUND(M$8*'1.Params_8.Sensitivity'!$I$20,0)</f>
        <v>802</v>
      </c>
      <c r="N9" s="197">
        <f>ROUND(N$8*'1.Params_8.Sensitivity'!$I$20,0)</f>
        <v>813</v>
      </c>
      <c r="O9" s="197">
        <f>ROUND(O$8*'1.Params_8.Sensitivity'!$I$20,0)</f>
        <v>824</v>
      </c>
      <c r="P9" s="197">
        <f>ROUND(P$8*'1.Params_8.Sensitivity'!$I$20,0)</f>
        <v>835</v>
      </c>
      <c r="Q9" s="197">
        <f>ROUND(Q$8*'1.Params_8.Sensitivity'!$I$20,0)</f>
        <v>847</v>
      </c>
      <c r="R9" s="197">
        <f>ROUND(R$8*'1.Params_8.Sensitivity'!$I$20,0)</f>
        <v>859</v>
      </c>
      <c r="S9" s="197">
        <f>ROUND(S$8*'1.Params_8.Sensitivity'!$I$20,0)</f>
        <v>870</v>
      </c>
      <c r="T9" s="197">
        <f>ROUND(T$8*'1.Params_8.Sensitivity'!$I$20,0)</f>
        <v>882</v>
      </c>
      <c r="U9" s="197">
        <f>ROUND(U$8*'1.Params_8.Sensitivity'!$I$20,0)</f>
        <v>894</v>
      </c>
      <c r="V9" s="197">
        <f>ROUND(V$8*'1.Params_8.Sensitivity'!$I$20,0)</f>
        <v>907</v>
      </c>
      <c r="W9" s="197">
        <f>ROUND(W$8*'1.Params_8.Sensitivity'!$I$20,0)</f>
        <v>919</v>
      </c>
      <c r="X9" s="197">
        <f>ROUND(X$8*'1.Params_8.Sensitivity'!$I$20,0)</f>
        <v>932</v>
      </c>
      <c r="Y9" s="197">
        <f>ROUND(Y$8*'1.Params_8.Sensitivity'!$I$20,0)</f>
        <v>944</v>
      </c>
      <c r="Z9" s="197">
        <f>ROUND(Z$8*'1.Params_8.Sensitivity'!$I$20,0)</f>
        <v>957</v>
      </c>
      <c r="AA9" s="197">
        <f>ROUND(AA$8*'1.Params_8.Sensitivity'!$I$20,0)</f>
        <v>970</v>
      </c>
      <c r="AB9" s="197">
        <f>ROUND(AB$8*'1.Params_8.Sensitivity'!$I$20,0)</f>
        <v>984</v>
      </c>
      <c r="AC9" s="197">
        <f>ROUND(AC$8*'1.Params_8.Sensitivity'!$I$20,0)</f>
        <v>997</v>
      </c>
      <c r="AD9" s="197">
        <f>ROUND(AD$8*'1.Params_8.Sensitivity'!$I$20,0)</f>
        <v>1011</v>
      </c>
      <c r="AE9" s="197">
        <f>ROUND(AE$8*'1.Params_8.Sensitivity'!$I$20,0)</f>
        <v>1025</v>
      </c>
      <c r="AF9" s="197">
        <f>ROUND(AF$8*'1.Params_8.Sensitivity'!$I$20,0)</f>
        <v>1039</v>
      </c>
    </row>
    <row r="10" spans="1:32" x14ac:dyDescent="0.55000000000000004">
      <c r="B10" s="4" t="s">
        <v>204</v>
      </c>
      <c r="C10" s="269">
        <v>0</v>
      </c>
      <c r="D10" s="269">
        <v>0</v>
      </c>
      <c r="E10" s="269">
        <v>0</v>
      </c>
      <c r="F10" s="269">
        <v>0</v>
      </c>
      <c r="G10" s="269">
        <v>0</v>
      </c>
      <c r="H10" s="197">
        <f>ROUND(H$9*'1.Params_8.Sensitivity'!$I$21,0)</f>
        <v>75</v>
      </c>
      <c r="I10" s="197">
        <f>ROUND(I$9*'1.Params_8.Sensitivity'!$I$21,0)</f>
        <v>76</v>
      </c>
      <c r="J10" s="197">
        <f>ROUND(J$9*'1.Params_8.Sensitivity'!$I$21,0)</f>
        <v>77</v>
      </c>
      <c r="K10" s="197">
        <f>ROUND(K$9*'1.Params_8.Sensitivity'!$I$21,0)</f>
        <v>78</v>
      </c>
      <c r="L10" s="197">
        <f>ROUND(L$9*'1.Params_8.Sensitivity'!$I$21,0)</f>
        <v>79</v>
      </c>
      <c r="M10" s="197">
        <f>ROUND(M$9*'1.Params_8.Sensitivity'!$I$21,0)</f>
        <v>80</v>
      </c>
      <c r="N10" s="197">
        <f>ROUND(N$9*'1.Params_8.Sensitivity'!$I$21,0)</f>
        <v>81</v>
      </c>
      <c r="O10" s="197">
        <f>ROUND(O$9*'1.Params_8.Sensitivity'!$I$21,0)</f>
        <v>82</v>
      </c>
      <c r="P10" s="197">
        <f>ROUND(P$9*'1.Params_8.Sensitivity'!$I$21,0)</f>
        <v>84</v>
      </c>
      <c r="Q10" s="197">
        <f>ROUND(Q$9*'1.Params_8.Sensitivity'!$I$21,0)</f>
        <v>85</v>
      </c>
      <c r="R10" s="197">
        <f>ROUND(R$9*'1.Params_8.Sensitivity'!$I$21,0)</f>
        <v>86</v>
      </c>
      <c r="S10" s="197">
        <f>ROUND(S$9*'1.Params_8.Sensitivity'!$I$21,0)</f>
        <v>87</v>
      </c>
      <c r="T10" s="197">
        <f>ROUND(T$9*'1.Params_8.Sensitivity'!$I$21,0)</f>
        <v>88</v>
      </c>
      <c r="U10" s="197">
        <f>ROUND(U$9*'1.Params_8.Sensitivity'!$I$21,0)</f>
        <v>89</v>
      </c>
      <c r="V10" s="197">
        <f>ROUND(V$9*'1.Params_8.Sensitivity'!$I$21,0)</f>
        <v>91</v>
      </c>
      <c r="W10" s="197">
        <f>ROUND(W$9*'1.Params_8.Sensitivity'!$I$21,0)</f>
        <v>92</v>
      </c>
      <c r="X10" s="197">
        <f>ROUND(X$9*'1.Params_8.Sensitivity'!$I$21,0)</f>
        <v>93</v>
      </c>
      <c r="Y10" s="197">
        <f>ROUND(Y$9*'1.Params_8.Sensitivity'!$I$21,0)</f>
        <v>94</v>
      </c>
      <c r="Z10" s="197">
        <f>ROUND(Z$9*'1.Params_8.Sensitivity'!$I$21,0)</f>
        <v>96</v>
      </c>
      <c r="AA10" s="197">
        <f>ROUND(AA$9*'1.Params_8.Sensitivity'!$I$21,0)</f>
        <v>97</v>
      </c>
      <c r="AB10" s="197">
        <f>ROUND(AB$9*'1.Params_8.Sensitivity'!$I$21,0)</f>
        <v>98</v>
      </c>
      <c r="AC10" s="197">
        <f>ROUND(AC$9*'1.Params_8.Sensitivity'!$I$21,0)</f>
        <v>100</v>
      </c>
      <c r="AD10" s="197">
        <f>ROUND(AD$9*'1.Params_8.Sensitivity'!$I$21,0)</f>
        <v>101</v>
      </c>
      <c r="AE10" s="197">
        <f>ROUND(AE$9*'1.Params_8.Sensitivity'!$I$21,0)</f>
        <v>103</v>
      </c>
      <c r="AF10" s="197">
        <f>ROUND(AF$9*'1.Params_8.Sensitivity'!$I$21,0)</f>
        <v>104</v>
      </c>
    </row>
    <row r="11" spans="1:32" x14ac:dyDescent="0.55000000000000004">
      <c r="B11" s="4" t="s">
        <v>197</v>
      </c>
      <c r="C11" s="197">
        <f>ROUND(C$4*'1.Params_8.Sensitivity'!$I$22,0)</f>
        <v>17500</v>
      </c>
      <c r="D11" s="197">
        <f>ROUND(D$4*'1.Params_8.Sensitivity'!$I$22,0)</f>
        <v>17740</v>
      </c>
      <c r="E11" s="197">
        <f>ROUND(E$4*'1.Params_8.Sensitivity'!$I$22,0)</f>
        <v>17983</v>
      </c>
      <c r="F11" s="197">
        <f>ROUND(F$4*'1.Params_8.Sensitivity'!$I$22,0)</f>
        <v>18230</v>
      </c>
      <c r="G11" s="197">
        <f>ROUND(G$4*'1.Params_8.Sensitivity'!$I$22,0)</f>
        <v>18479</v>
      </c>
      <c r="H11" s="197">
        <f>ROUND(H$4*'1.Params_8.Sensitivity'!$I$22,0)</f>
        <v>18732</v>
      </c>
      <c r="I11" s="197">
        <f>ROUND(I$4*'1.Params_8.Sensitivity'!$I$22,0)</f>
        <v>18989</v>
      </c>
      <c r="J11" s="197">
        <f>ROUND(J$4*'1.Params_8.Sensitivity'!$I$22,0)</f>
        <v>19249</v>
      </c>
      <c r="K11" s="197">
        <f>ROUND(K$4*'1.Params_8.Sensitivity'!$I$22,0)</f>
        <v>19512</v>
      </c>
      <c r="L11" s="197">
        <f>ROUND(L$4*'1.Params_8.Sensitivity'!$I$22,0)</f>
        <v>19780</v>
      </c>
      <c r="M11" s="197">
        <f>ROUND(M$4*'1.Params_8.Sensitivity'!$I$22,0)</f>
        <v>20051</v>
      </c>
      <c r="N11" s="197">
        <f>ROUND(N$4*'1.Params_8.Sensitivity'!$I$22,0)</f>
        <v>20325</v>
      </c>
      <c r="O11" s="197">
        <f>ROUND(O$4*'1.Params_8.Sensitivity'!$I$22,0)</f>
        <v>20604</v>
      </c>
      <c r="P11" s="197">
        <f>ROUND(P$4*'1.Params_8.Sensitivity'!$I$22,0)</f>
        <v>20886</v>
      </c>
      <c r="Q11" s="197">
        <f>ROUND(Q$4*'1.Params_8.Sensitivity'!$I$22,0)</f>
        <v>21172</v>
      </c>
      <c r="R11" s="197">
        <f>ROUND(R$4*'1.Params_8.Sensitivity'!$I$22,0)</f>
        <v>21462</v>
      </c>
      <c r="S11" s="197">
        <f>ROUND(S$4*'1.Params_8.Sensitivity'!$I$22,0)</f>
        <v>21756</v>
      </c>
      <c r="T11" s="197">
        <f>ROUND(T$4*'1.Params_8.Sensitivity'!$I$22,0)</f>
        <v>22054</v>
      </c>
      <c r="U11" s="197">
        <f>ROUND(U$4*'1.Params_8.Sensitivity'!$I$22,0)</f>
        <v>22356</v>
      </c>
      <c r="V11" s="197">
        <f>ROUND(V$4*'1.Params_8.Sensitivity'!$I$22,0)</f>
        <v>22663</v>
      </c>
      <c r="W11" s="197">
        <f>ROUND(W$4*'1.Params_8.Sensitivity'!$I$22,0)</f>
        <v>22973</v>
      </c>
      <c r="X11" s="197">
        <f>ROUND(X$4*'1.Params_8.Sensitivity'!$I$22,0)</f>
        <v>23288</v>
      </c>
      <c r="Y11" s="197">
        <f>ROUND(Y$4*'1.Params_8.Sensitivity'!$I$22,0)</f>
        <v>23607</v>
      </c>
      <c r="Z11" s="197">
        <f>ROUND(Z$4*'1.Params_8.Sensitivity'!$I$22,0)</f>
        <v>23930</v>
      </c>
      <c r="AA11" s="197">
        <f>ROUND(AA$4*'1.Params_8.Sensitivity'!$I$22,0)</f>
        <v>24258</v>
      </c>
      <c r="AB11" s="197">
        <f>ROUND(AB$4*'1.Params_8.Sensitivity'!$I$22,0)</f>
        <v>24591</v>
      </c>
      <c r="AC11" s="197">
        <f>ROUND(AC$4*'1.Params_8.Sensitivity'!$I$22,0)</f>
        <v>24928</v>
      </c>
      <c r="AD11" s="197">
        <f>ROUND(AD$4*'1.Params_8.Sensitivity'!$I$22,0)</f>
        <v>25269</v>
      </c>
      <c r="AE11" s="197">
        <f>ROUND(AE$4*'1.Params_8.Sensitivity'!$I$22,0)</f>
        <v>25615</v>
      </c>
      <c r="AF11" s="197">
        <f>ROUND(AF$4*'1.Params_8.Sensitivity'!$I$22,0)</f>
        <v>25966</v>
      </c>
    </row>
    <row r="12" spans="1:32" x14ac:dyDescent="0.55000000000000004">
      <c r="B12" s="4" t="s">
        <v>199</v>
      </c>
      <c r="C12" s="197">
        <f>ROUND(C$11*'1.Params_8.Sensitivity'!$I$23,0)</f>
        <v>8750</v>
      </c>
      <c r="D12" s="197">
        <f>ROUND(D$11*'1.Params_8.Sensitivity'!$I$23,0)</f>
        <v>8870</v>
      </c>
      <c r="E12" s="197">
        <f>ROUND(E$11*'1.Params_8.Sensitivity'!$I$23,0)</f>
        <v>8992</v>
      </c>
      <c r="F12" s="197">
        <f>ROUND(F$11*'1.Params_8.Sensitivity'!$I$23,0)</f>
        <v>9115</v>
      </c>
      <c r="G12" s="197">
        <f>ROUND(G$11*'1.Params_8.Sensitivity'!$I$23,0)</f>
        <v>9240</v>
      </c>
      <c r="H12" s="197">
        <f>ROUND(H$11*'1.Params_8.Sensitivity'!$I$23,0)</f>
        <v>9366</v>
      </c>
      <c r="I12" s="197">
        <f>ROUND(I$11*'1.Params_8.Sensitivity'!$I$23,0)</f>
        <v>9495</v>
      </c>
      <c r="J12" s="197">
        <f>ROUND(J$11*'1.Params_8.Sensitivity'!$I$23,0)</f>
        <v>9625</v>
      </c>
      <c r="K12" s="197">
        <f>ROUND(K$11*'1.Params_8.Sensitivity'!$I$23,0)</f>
        <v>9756</v>
      </c>
      <c r="L12" s="197">
        <f>ROUND(L$11*'1.Params_8.Sensitivity'!$I$23,0)</f>
        <v>9890</v>
      </c>
      <c r="M12" s="197">
        <f>ROUND(M$11*'1.Params_8.Sensitivity'!$I$23,0)</f>
        <v>10026</v>
      </c>
      <c r="N12" s="197">
        <f>ROUND(N$11*'1.Params_8.Sensitivity'!$I$23,0)</f>
        <v>10163</v>
      </c>
      <c r="O12" s="197">
        <f>ROUND(O$11*'1.Params_8.Sensitivity'!$I$23,0)</f>
        <v>10302</v>
      </c>
      <c r="P12" s="197">
        <f>ROUND(P$11*'1.Params_8.Sensitivity'!$I$23,0)</f>
        <v>10443</v>
      </c>
      <c r="Q12" s="197">
        <f>ROUND(Q$11*'1.Params_8.Sensitivity'!$I$23,0)</f>
        <v>10586</v>
      </c>
      <c r="R12" s="197">
        <f>ROUND(R$11*'1.Params_8.Sensitivity'!$I$23,0)</f>
        <v>10731</v>
      </c>
      <c r="S12" s="197">
        <f>ROUND(S$11*'1.Params_8.Sensitivity'!$I$23,0)</f>
        <v>10878</v>
      </c>
      <c r="T12" s="197">
        <f>ROUND(T$11*'1.Params_8.Sensitivity'!$I$23,0)</f>
        <v>11027</v>
      </c>
      <c r="U12" s="197">
        <f>ROUND(U$11*'1.Params_8.Sensitivity'!$I$23,0)</f>
        <v>11178</v>
      </c>
      <c r="V12" s="197">
        <f>ROUND(V$11*'1.Params_8.Sensitivity'!$I$23,0)</f>
        <v>11332</v>
      </c>
      <c r="W12" s="197">
        <f>ROUND(W$11*'1.Params_8.Sensitivity'!$I$23,0)</f>
        <v>11487</v>
      </c>
      <c r="X12" s="197">
        <f>ROUND(X$11*'1.Params_8.Sensitivity'!$I$23,0)</f>
        <v>11644</v>
      </c>
      <c r="Y12" s="197">
        <f>ROUND(Y$11*'1.Params_8.Sensitivity'!$I$23,0)</f>
        <v>11804</v>
      </c>
      <c r="Z12" s="197">
        <f>ROUND(Z$11*'1.Params_8.Sensitivity'!$I$23,0)</f>
        <v>11965</v>
      </c>
      <c r="AA12" s="197">
        <f>ROUND(AA$11*'1.Params_8.Sensitivity'!$I$23,0)</f>
        <v>12129</v>
      </c>
      <c r="AB12" s="197">
        <f>ROUND(AB$11*'1.Params_8.Sensitivity'!$I$23,0)</f>
        <v>12296</v>
      </c>
      <c r="AC12" s="197">
        <f>ROUND(AC$11*'1.Params_8.Sensitivity'!$I$23,0)</f>
        <v>12464</v>
      </c>
      <c r="AD12" s="197">
        <f>ROUND(AD$11*'1.Params_8.Sensitivity'!$I$23,0)</f>
        <v>12635</v>
      </c>
      <c r="AE12" s="197">
        <f>ROUND(AE$11*'1.Params_8.Sensitivity'!$I$23,0)</f>
        <v>12808</v>
      </c>
      <c r="AF12" s="197">
        <f>ROUND(AF$11*'1.Params_8.Sensitivity'!$I$23,0)</f>
        <v>12983</v>
      </c>
    </row>
    <row r="13" spans="1:32" x14ac:dyDescent="0.55000000000000004">
      <c r="B13" s="4" t="s">
        <v>198</v>
      </c>
      <c r="C13" s="197">
        <f>ROUND(C$12*'1.Params_8.Sensitivity'!$I$24,0)</f>
        <v>700</v>
      </c>
      <c r="D13" s="197">
        <f>ROUND(D$12*'1.Params_8.Sensitivity'!$I$24,0)</f>
        <v>710</v>
      </c>
      <c r="E13" s="197">
        <f>ROUND(E$12*'1.Params_8.Sensitivity'!$I$24,0)</f>
        <v>719</v>
      </c>
      <c r="F13" s="197">
        <f>ROUND(F$12*'1.Params_8.Sensitivity'!$I$24,0)</f>
        <v>729</v>
      </c>
      <c r="G13" s="197">
        <f>ROUND(G$12*'1.Params_8.Sensitivity'!$I$24,0)</f>
        <v>739</v>
      </c>
      <c r="H13" s="197">
        <f>ROUND(H$12*'1.Params_8.Sensitivity'!$I$24,0)</f>
        <v>749</v>
      </c>
      <c r="I13" s="197">
        <f>ROUND(I$12*'1.Params_8.Sensitivity'!$I$24,0)</f>
        <v>760</v>
      </c>
      <c r="J13" s="197">
        <f>ROUND(J$12*'1.Params_8.Sensitivity'!$I$24,0)</f>
        <v>770</v>
      </c>
      <c r="K13" s="197">
        <f>ROUND(K$12*'1.Params_8.Sensitivity'!$I$24,0)</f>
        <v>780</v>
      </c>
      <c r="L13" s="197">
        <f>ROUND(L$12*'1.Params_8.Sensitivity'!$I$24,0)</f>
        <v>791</v>
      </c>
      <c r="M13" s="197">
        <f>ROUND(M$12*'1.Params_8.Sensitivity'!$I$24,0)</f>
        <v>802</v>
      </c>
      <c r="N13" s="197">
        <f>ROUND(N$12*'1.Params_8.Sensitivity'!$I$24,0)</f>
        <v>813</v>
      </c>
      <c r="O13" s="197">
        <f>ROUND(O$12*'1.Params_8.Sensitivity'!$I$24,0)</f>
        <v>824</v>
      </c>
      <c r="P13" s="197">
        <f>ROUND(P$12*'1.Params_8.Sensitivity'!$I$24,0)</f>
        <v>835</v>
      </c>
      <c r="Q13" s="197">
        <f>ROUND(Q$12*'1.Params_8.Sensitivity'!$I$24,0)</f>
        <v>847</v>
      </c>
      <c r="R13" s="197">
        <f>ROUND(R$12*'1.Params_8.Sensitivity'!$I$24,0)</f>
        <v>858</v>
      </c>
      <c r="S13" s="197">
        <f>ROUND(S$12*'1.Params_8.Sensitivity'!$I$24,0)</f>
        <v>870</v>
      </c>
      <c r="T13" s="197">
        <f>ROUND(T$12*'1.Params_8.Sensitivity'!$I$24,0)</f>
        <v>882</v>
      </c>
      <c r="U13" s="197">
        <f>ROUND(U$12*'1.Params_8.Sensitivity'!$I$24,0)</f>
        <v>894</v>
      </c>
      <c r="V13" s="197">
        <f>ROUND(V$12*'1.Params_8.Sensitivity'!$I$24,0)</f>
        <v>907</v>
      </c>
      <c r="W13" s="197">
        <f>ROUND(W$12*'1.Params_8.Sensitivity'!$I$24,0)</f>
        <v>919</v>
      </c>
      <c r="X13" s="197">
        <f>ROUND(X$12*'1.Params_8.Sensitivity'!$I$24,0)</f>
        <v>932</v>
      </c>
      <c r="Y13" s="197">
        <f>ROUND(Y$12*'1.Params_8.Sensitivity'!$I$24,0)</f>
        <v>944</v>
      </c>
      <c r="Z13" s="197">
        <f>ROUND(Z$12*'1.Params_8.Sensitivity'!$I$24,0)</f>
        <v>957</v>
      </c>
      <c r="AA13" s="197">
        <f>ROUND(AA$12*'1.Params_8.Sensitivity'!$I$24,0)</f>
        <v>970</v>
      </c>
      <c r="AB13" s="197">
        <f>ROUND(AB$12*'1.Params_8.Sensitivity'!$I$24,0)</f>
        <v>984</v>
      </c>
      <c r="AC13" s="197">
        <f>ROUND(AC$12*'1.Params_8.Sensitivity'!$I$24,0)</f>
        <v>997</v>
      </c>
      <c r="AD13" s="197">
        <f>ROUND(AD$12*'1.Params_8.Sensitivity'!$I$24,0)</f>
        <v>1011</v>
      </c>
      <c r="AE13" s="197">
        <f>ROUND(AE$12*'1.Params_8.Sensitivity'!$I$24,0)</f>
        <v>1025</v>
      </c>
      <c r="AF13" s="197">
        <f>ROUND(AF$12*'1.Params_8.Sensitivity'!$I$24,0)</f>
        <v>1039</v>
      </c>
    </row>
    <row r="14" spans="1:32" x14ac:dyDescent="0.55000000000000004">
      <c r="B14" s="4" t="s">
        <v>200</v>
      </c>
      <c r="C14" s="315">
        <f>ROUND(C$13*('1.Params_8.Sensitivity'!$I$25/10^5),0)</f>
        <v>1</v>
      </c>
      <c r="D14" s="315">
        <f>ROUND(D$13*('1.Params_8.Sensitivity'!$I$25/10^5),0)</f>
        <v>1</v>
      </c>
      <c r="E14" s="315">
        <f>ROUND(E$13*('1.Params_8.Sensitivity'!$I$25/10^5),0)</f>
        <v>1</v>
      </c>
      <c r="F14" s="315">
        <f>ROUND(F$13*('1.Params_8.Sensitivity'!$I$25/10^5),0)</f>
        <v>1</v>
      </c>
      <c r="G14" s="315">
        <f>ROUND(G$13*('1.Params_8.Sensitivity'!$I$25/10^5),0)</f>
        <v>1</v>
      </c>
      <c r="H14" s="315">
        <f>ROUND(H$13*('1.Params_8.Sensitivity'!$I$25/10^5),0)</f>
        <v>1</v>
      </c>
      <c r="I14" s="315">
        <f>ROUND(I$13*('1.Params_8.Sensitivity'!$I$25/10^5),0)</f>
        <v>1</v>
      </c>
      <c r="J14" s="315">
        <f>ROUND(J$13*('1.Params_8.Sensitivity'!$I$25/10^5),0)</f>
        <v>1</v>
      </c>
      <c r="K14" s="315">
        <f>ROUND(K$13*('1.Params_8.Sensitivity'!$I$25/10^5),0)</f>
        <v>1</v>
      </c>
      <c r="L14" s="315">
        <f>ROUND(L$13*('1.Params_8.Sensitivity'!$I$25/10^5),0)</f>
        <v>1</v>
      </c>
      <c r="M14" s="315">
        <f>ROUND(M$13*('1.Params_8.Sensitivity'!$I$25/10^5),0)</f>
        <v>1</v>
      </c>
      <c r="N14" s="315">
        <f>ROUND(N$13*('1.Params_8.Sensitivity'!$I$25/10^5),0)</f>
        <v>1</v>
      </c>
      <c r="O14" s="315">
        <f>ROUND(O$13*('1.Params_8.Sensitivity'!$I$25/10^5),0)</f>
        <v>1</v>
      </c>
      <c r="P14" s="315">
        <f>ROUND(P$13*('1.Params_8.Sensitivity'!$I$25/10^5),0)</f>
        <v>1</v>
      </c>
      <c r="Q14" s="315">
        <f>ROUND(Q$13*('1.Params_8.Sensitivity'!$I$25/10^5),0)</f>
        <v>1</v>
      </c>
      <c r="R14" s="315">
        <f>ROUND(R$13*('1.Params_8.Sensitivity'!$I$25/10^5),0)</f>
        <v>1</v>
      </c>
      <c r="S14" s="315">
        <f>ROUND(S$13*('1.Params_8.Sensitivity'!$I$25/10^5),0)</f>
        <v>2</v>
      </c>
      <c r="T14" s="315">
        <f>ROUND(T$13*('1.Params_8.Sensitivity'!$I$25/10^5),0)</f>
        <v>2</v>
      </c>
      <c r="U14" s="315">
        <f>ROUND(U$13*('1.Params_8.Sensitivity'!$I$25/10^5),0)</f>
        <v>2</v>
      </c>
      <c r="V14" s="315">
        <f>ROUND(V$13*('1.Params_8.Sensitivity'!$I$25/10^5),0)</f>
        <v>2</v>
      </c>
      <c r="W14" s="315">
        <f>ROUND(W$13*('1.Params_8.Sensitivity'!$I$25/10^5),0)</f>
        <v>2</v>
      </c>
      <c r="X14" s="315">
        <f>ROUND(X$13*('1.Params_8.Sensitivity'!$I$25/10^5),0)</f>
        <v>2</v>
      </c>
      <c r="Y14" s="315">
        <f>ROUND(Y$13*('1.Params_8.Sensitivity'!$I$25/10^5),0)</f>
        <v>2</v>
      </c>
      <c r="Z14" s="315">
        <f>ROUND(Z$13*('1.Params_8.Sensitivity'!$I$25/10^5),0)</f>
        <v>2</v>
      </c>
      <c r="AA14" s="315">
        <f>ROUND(AA$13*('1.Params_8.Sensitivity'!$I$25/10^5),0)</f>
        <v>2</v>
      </c>
      <c r="AB14" s="315">
        <f>ROUND(AB$13*('1.Params_8.Sensitivity'!$I$25/10^5),0)</f>
        <v>2</v>
      </c>
      <c r="AC14" s="315">
        <f>ROUND(AC$13*('1.Params_8.Sensitivity'!$I$25/10^5),0)</f>
        <v>2</v>
      </c>
      <c r="AD14" s="315">
        <f>ROUND(AD$13*('1.Params_8.Sensitivity'!$I$25/10^5),0)</f>
        <v>2</v>
      </c>
      <c r="AE14" s="315">
        <f>ROUND(AE$13*('1.Params_8.Sensitivity'!$I$25/10^5),0)</f>
        <v>2</v>
      </c>
      <c r="AF14" s="315">
        <f>ROUND(AF$13*('1.Params_8.Sensitivity'!$I$25/10^5),0)</f>
        <v>2</v>
      </c>
    </row>
    <row r="15" spans="1:32" x14ac:dyDescent="0.55000000000000004">
      <c r="B15" s="4" t="s">
        <v>201</v>
      </c>
      <c r="C15" s="269">
        <v>0</v>
      </c>
      <c r="D15" s="269">
        <v>0</v>
      </c>
      <c r="E15" s="269">
        <v>0</v>
      </c>
      <c r="F15" s="269">
        <v>0</v>
      </c>
      <c r="G15" s="269">
        <v>0</v>
      </c>
      <c r="H15" s="315">
        <f>ROUND(H$14*'1.Params_8.Sensitivity'!$I$26,0)</f>
        <v>1</v>
      </c>
      <c r="I15" s="315">
        <f>ROUND(I$14*'1.Params_8.Sensitivity'!$I$26,0)</f>
        <v>1</v>
      </c>
      <c r="J15" s="315">
        <f>ROUND(J$14*'1.Params_8.Sensitivity'!$I$26,0)</f>
        <v>1</v>
      </c>
      <c r="K15" s="315">
        <f>ROUND(K$14*'1.Params_8.Sensitivity'!$I$26,0)</f>
        <v>1</v>
      </c>
      <c r="L15" s="315">
        <f>ROUND(L$14*'1.Params_8.Sensitivity'!$I$26,0)</f>
        <v>1</v>
      </c>
      <c r="M15" s="315">
        <f>ROUND(M$14*'1.Params_8.Sensitivity'!$I$26,0)</f>
        <v>1</v>
      </c>
      <c r="N15" s="315">
        <f>ROUND(N$14*'1.Params_8.Sensitivity'!$I$26,0)</f>
        <v>1</v>
      </c>
      <c r="O15" s="315">
        <f>ROUND(O$14*'1.Params_8.Sensitivity'!$I$26,0)</f>
        <v>1</v>
      </c>
      <c r="P15" s="315">
        <f>ROUND(P$14*'1.Params_8.Sensitivity'!$I$26,0)</f>
        <v>1</v>
      </c>
      <c r="Q15" s="315">
        <f>ROUND(Q$14*'1.Params_8.Sensitivity'!$I$26,0)</f>
        <v>1</v>
      </c>
      <c r="R15" s="315">
        <f>ROUND(R$14*'1.Params_8.Sensitivity'!$I$26,0)</f>
        <v>1</v>
      </c>
      <c r="S15" s="315">
        <f>ROUND(S$14*'1.Params_8.Sensitivity'!$I$26,0)</f>
        <v>1</v>
      </c>
      <c r="T15" s="315">
        <f>ROUND(T$14*'1.Params_8.Sensitivity'!$I$26,0)</f>
        <v>1</v>
      </c>
      <c r="U15" s="315">
        <f>ROUND(U$14*'1.Params_8.Sensitivity'!$I$26,0)</f>
        <v>1</v>
      </c>
      <c r="V15" s="315">
        <f>ROUND(V$14*'1.Params_8.Sensitivity'!$I$26,0)</f>
        <v>1</v>
      </c>
      <c r="W15" s="315">
        <f>ROUND(W$14*'1.Params_8.Sensitivity'!$I$26,0)</f>
        <v>1</v>
      </c>
      <c r="X15" s="315">
        <f>ROUND(X$14*'1.Params_8.Sensitivity'!$I$26,0)</f>
        <v>1</v>
      </c>
      <c r="Y15" s="315">
        <f>ROUND(Y$14*'1.Params_8.Sensitivity'!$I$26,0)</f>
        <v>1</v>
      </c>
      <c r="Z15" s="315">
        <f>ROUND(Z$14*'1.Params_8.Sensitivity'!$I$26,0)</f>
        <v>1</v>
      </c>
      <c r="AA15" s="315">
        <f>ROUND(AA$14*'1.Params_8.Sensitivity'!$I$26,0)</f>
        <v>1</v>
      </c>
      <c r="AB15" s="315">
        <f>ROUND(AB$14*'1.Params_8.Sensitivity'!$I$26,0)</f>
        <v>1</v>
      </c>
      <c r="AC15" s="315">
        <f>ROUND(AC$14*'1.Params_8.Sensitivity'!$I$26,0)</f>
        <v>1</v>
      </c>
      <c r="AD15" s="315">
        <f>ROUND(AD$14*'1.Params_8.Sensitivity'!$I$26,0)</f>
        <v>1</v>
      </c>
      <c r="AE15" s="315">
        <f>ROUND(AE$14*'1.Params_8.Sensitivity'!$I$26,0)</f>
        <v>1</v>
      </c>
      <c r="AF15" s="315">
        <f>ROUND(AF$14*'1.Params_8.Sensitivity'!$I$26,0)</f>
        <v>1</v>
      </c>
    </row>
    <row r="16" spans="1:32" x14ac:dyDescent="0.55000000000000004">
      <c r="B16" s="4" t="s">
        <v>202</v>
      </c>
      <c r="C16" s="211">
        <f>C$6*'1.Params_8.Sensitivity'!$I$32*12/10^5</f>
        <v>4361.76</v>
      </c>
      <c r="D16" s="211">
        <f>D$6*'1.Params_8.Sensitivity'!$I$32*12/10^5</f>
        <v>4420.8</v>
      </c>
      <c r="E16" s="211">
        <f>E$6*'1.Params_8.Sensitivity'!$I$32*12/10^5</f>
        <v>4482.72</v>
      </c>
      <c r="F16" s="211">
        <f>F$6*'1.Params_8.Sensitivity'!$I$32*12/10^5</f>
        <v>4543.2</v>
      </c>
      <c r="G16" s="211">
        <f>G$6*'1.Params_8.Sensitivity'!$I$32*12/10^5</f>
        <v>4605.12</v>
      </c>
      <c r="H16" s="211">
        <f>H$6*'1.Params_8.Sensitivity'!$I$32*12/10^5</f>
        <v>4668.4799999999996</v>
      </c>
      <c r="I16" s="211">
        <f>I$6*'1.Params_8.Sensitivity'!$I$32*12/10^5</f>
        <v>4731.84</v>
      </c>
      <c r="J16" s="211">
        <f>J$6*'1.Params_8.Sensitivity'!$I$32*12/10^5</f>
        <v>4796.6400000000003</v>
      </c>
      <c r="K16" s="211">
        <f>K$6*'1.Params_8.Sensitivity'!$I$32*12/10^5</f>
        <v>4862.88</v>
      </c>
      <c r="L16" s="211">
        <f>L$6*'1.Params_8.Sensitivity'!$I$32*12/10^5</f>
        <v>4930.5600000000004</v>
      </c>
      <c r="M16" s="211">
        <f>M$6*'1.Params_8.Sensitivity'!$I$32*12/10^5</f>
        <v>4996.8</v>
      </c>
      <c r="N16" s="211">
        <f>N$6*'1.Params_8.Sensitivity'!$I$32*12/10^5</f>
        <v>5065.92</v>
      </c>
      <c r="O16" s="211">
        <f>O$6*'1.Params_8.Sensitivity'!$I$32*12/10^5</f>
        <v>5135.04</v>
      </c>
      <c r="P16" s="211">
        <f>P$6*'1.Params_8.Sensitivity'!$I$32*12/10^5</f>
        <v>5205.6000000000004</v>
      </c>
      <c r="Q16" s="211">
        <f>Q$6*'1.Params_8.Sensitivity'!$I$32*12/10^5</f>
        <v>5276.16</v>
      </c>
      <c r="R16" s="211">
        <f>R$6*'1.Params_8.Sensitivity'!$I$32*12/10^5</f>
        <v>5349.6</v>
      </c>
      <c r="S16" s="211">
        <f>S$6*'1.Params_8.Sensitivity'!$I$32*12/10^5</f>
        <v>5423.04</v>
      </c>
      <c r="T16" s="211">
        <f>T$6*'1.Params_8.Sensitivity'!$I$32*12/10^5</f>
        <v>5496.48</v>
      </c>
      <c r="U16" s="211">
        <f>U$6*'1.Params_8.Sensitivity'!$I$32*12/10^5</f>
        <v>5571.36</v>
      </c>
      <c r="V16" s="211">
        <f>V$6*'1.Params_8.Sensitivity'!$I$32*12/10^5</f>
        <v>5647.68</v>
      </c>
      <c r="W16" s="211">
        <f>W$6*'1.Params_8.Sensitivity'!$I$32*12/10^5</f>
        <v>5725.44</v>
      </c>
      <c r="X16" s="211">
        <f>X$6*'1.Params_8.Sensitivity'!$I$32*12/10^5</f>
        <v>5804.64</v>
      </c>
      <c r="Y16" s="211">
        <f>Y$6*'1.Params_8.Sensitivity'!$I$32*12/10^5</f>
        <v>5883.84</v>
      </c>
      <c r="Z16" s="211">
        <f>Z$6*'1.Params_8.Sensitivity'!$I$32*12/10^5</f>
        <v>5964.48</v>
      </c>
      <c r="AA16" s="211">
        <f>AA$6*'1.Params_8.Sensitivity'!$I$32*12/10^5</f>
        <v>6046.56</v>
      </c>
      <c r="AB16" s="211">
        <f>AB$6*'1.Params_8.Sensitivity'!$I$32*12/10^5</f>
        <v>6128.64</v>
      </c>
      <c r="AC16" s="211">
        <f>AC$6*'1.Params_8.Sensitivity'!$I$32*12/10^5</f>
        <v>6213.6</v>
      </c>
      <c r="AD16" s="211">
        <f>AD$6*'1.Params_8.Sensitivity'!$I$32*12/10^5</f>
        <v>6298.56</v>
      </c>
      <c r="AE16" s="211">
        <f>AE$6*'1.Params_8.Sensitivity'!$I$32*12/10^5</f>
        <v>6383.52</v>
      </c>
      <c r="AF16" s="211">
        <f>AF$6*'1.Params_8.Sensitivity'!$I$32*12/10^5</f>
        <v>6471.36</v>
      </c>
    </row>
    <row r="17" spans="2:32" x14ac:dyDescent="0.55000000000000004">
      <c r="B17" s="171" t="s">
        <v>206</v>
      </c>
      <c r="C17" s="212">
        <f>C$7*'1.Params_8.Sensitivity'!$I$33*12/10^5</f>
        <v>1515</v>
      </c>
      <c r="D17" s="212">
        <f>D$7*'1.Params_8.Sensitivity'!$I$33*12/10^5</f>
        <v>1536</v>
      </c>
      <c r="E17" s="212">
        <f>E$7*'1.Params_8.Sensitivity'!$I$33*12/10^5</f>
        <v>1557</v>
      </c>
      <c r="F17" s="212">
        <f>F$7*'1.Params_8.Sensitivity'!$I$33*12/10^5</f>
        <v>1578</v>
      </c>
      <c r="G17" s="212">
        <f>G$7*'1.Params_8.Sensitivity'!$I$33*12/10^5</f>
        <v>1599</v>
      </c>
      <c r="H17" s="212">
        <f>H$7*'1.Params_8.Sensitivity'!$I$33*12/10^5</f>
        <v>1620</v>
      </c>
      <c r="I17" s="212">
        <f>I$7*'1.Params_8.Sensitivity'!$I$33*12/10^5</f>
        <v>1644</v>
      </c>
      <c r="J17" s="212">
        <f>J$7*'1.Params_8.Sensitivity'!$I$33*12/10^5</f>
        <v>1665</v>
      </c>
      <c r="K17" s="212">
        <f>K$7*'1.Params_8.Sensitivity'!$I$33*12/10^5</f>
        <v>1689</v>
      </c>
      <c r="L17" s="212">
        <f>L$7*'1.Params_8.Sensitivity'!$I$33*12/10^5</f>
        <v>1713</v>
      </c>
      <c r="M17" s="212">
        <f>M$7*'1.Params_8.Sensitivity'!$I$33*12/10^5</f>
        <v>1734</v>
      </c>
      <c r="N17" s="212">
        <f>N$7*'1.Params_8.Sensitivity'!$I$33*12/10^5</f>
        <v>1758</v>
      </c>
      <c r="O17" s="212">
        <f>O$7*'1.Params_8.Sensitivity'!$I$33*12/10^5</f>
        <v>1782</v>
      </c>
      <c r="P17" s="212">
        <f>P$7*'1.Params_8.Sensitivity'!$I$33*12/10^5</f>
        <v>1806</v>
      </c>
      <c r="Q17" s="212">
        <f>Q$7*'1.Params_8.Sensitivity'!$I$33*12/10^5</f>
        <v>1833</v>
      </c>
      <c r="R17" s="212">
        <f>R$7*'1.Params_8.Sensitivity'!$I$33*12/10^5</f>
        <v>1857</v>
      </c>
      <c r="S17" s="212">
        <f>S$7*'1.Params_8.Sensitivity'!$I$33*12/10^5</f>
        <v>1884</v>
      </c>
      <c r="T17" s="212">
        <f>T$7*'1.Params_8.Sensitivity'!$I$33*12/10^5</f>
        <v>1908</v>
      </c>
      <c r="U17" s="212">
        <f>U$7*'1.Params_8.Sensitivity'!$I$33*12/10^5</f>
        <v>1935</v>
      </c>
      <c r="V17" s="212">
        <f>V$7*'1.Params_8.Sensitivity'!$I$33*12/10^5</f>
        <v>1962</v>
      </c>
      <c r="W17" s="212">
        <f>W$7*'1.Params_8.Sensitivity'!$I$33*12/10^5</f>
        <v>1989</v>
      </c>
      <c r="X17" s="212">
        <f>X$7*'1.Params_8.Sensitivity'!$I$33*12/10^5</f>
        <v>2016</v>
      </c>
      <c r="Y17" s="212">
        <f>Y$7*'1.Params_8.Sensitivity'!$I$33*12/10^5</f>
        <v>2043</v>
      </c>
      <c r="Z17" s="212">
        <f>Z$7*'1.Params_8.Sensitivity'!$I$33*12/10^5</f>
        <v>2070</v>
      </c>
      <c r="AA17" s="212">
        <f>AA$7*'1.Params_8.Sensitivity'!$I$33*12/10^5</f>
        <v>2100</v>
      </c>
      <c r="AB17" s="212">
        <f>AB$7*'1.Params_8.Sensitivity'!$I$33*12/10^5</f>
        <v>2127</v>
      </c>
      <c r="AC17" s="212">
        <f>AC$7*'1.Params_8.Sensitivity'!$I$33*12/10^5</f>
        <v>2157</v>
      </c>
      <c r="AD17" s="212">
        <f>AD$7*'1.Params_8.Sensitivity'!$I$33*12/10^5</f>
        <v>2187</v>
      </c>
      <c r="AE17" s="212">
        <f>AE$7*'1.Params_8.Sensitivity'!$I$33*12/10^5</f>
        <v>2217</v>
      </c>
      <c r="AF17" s="212">
        <f>AF$7*'1.Params_8.Sensitivity'!$I$33*12/10^5</f>
        <v>2247</v>
      </c>
    </row>
    <row r="18" spans="2:32" x14ac:dyDescent="0.55000000000000004">
      <c r="B18" s="214" t="s">
        <v>239</v>
      </c>
      <c r="C18" s="64">
        <v>1</v>
      </c>
      <c r="D18" s="7">
        <v>2</v>
      </c>
      <c r="E18" s="64">
        <v>3</v>
      </c>
      <c r="F18" s="7">
        <v>4</v>
      </c>
      <c r="G18" s="64">
        <v>5</v>
      </c>
      <c r="H18" s="85">
        <v>6</v>
      </c>
      <c r="I18" s="86">
        <v>7</v>
      </c>
      <c r="J18" s="85">
        <v>8</v>
      </c>
      <c r="K18" s="86">
        <v>9</v>
      </c>
      <c r="L18" s="85">
        <v>10</v>
      </c>
      <c r="M18" s="86">
        <v>11</v>
      </c>
      <c r="N18" s="85">
        <v>12</v>
      </c>
      <c r="O18" s="86">
        <v>13</v>
      </c>
      <c r="P18" s="85">
        <v>14</v>
      </c>
      <c r="Q18" s="86">
        <v>15</v>
      </c>
      <c r="R18" s="85">
        <v>16</v>
      </c>
      <c r="S18" s="86">
        <v>17</v>
      </c>
      <c r="T18" s="85">
        <v>18</v>
      </c>
      <c r="U18" s="86">
        <v>19</v>
      </c>
      <c r="V18" s="85">
        <v>20</v>
      </c>
      <c r="W18" s="86">
        <v>21</v>
      </c>
      <c r="X18" s="85">
        <v>22</v>
      </c>
      <c r="Y18" s="86">
        <v>23</v>
      </c>
      <c r="Z18" s="85">
        <v>24</v>
      </c>
      <c r="AA18" s="86">
        <v>25</v>
      </c>
      <c r="AB18" s="85">
        <v>26</v>
      </c>
      <c r="AC18" s="86">
        <v>27</v>
      </c>
      <c r="AD18" s="85">
        <v>28</v>
      </c>
      <c r="AE18" s="86">
        <v>29</v>
      </c>
      <c r="AF18" s="85">
        <v>30</v>
      </c>
    </row>
    <row r="19" spans="2:32" x14ac:dyDescent="0.55000000000000004">
      <c r="B19" s="4" t="s">
        <v>219</v>
      </c>
      <c r="C19" s="269">
        <v>0</v>
      </c>
      <c r="D19" s="269">
        <v>0</v>
      </c>
      <c r="E19" s="269">
        <v>0</v>
      </c>
      <c r="F19" s="269">
        <v>0</v>
      </c>
      <c r="G19" s="269">
        <v>0</v>
      </c>
      <c r="H19" s="211">
        <f>H$16*'1.Params_8.Sensitivity'!$I$34</f>
        <v>933.69599999999991</v>
      </c>
      <c r="I19" s="211">
        <f>I$16*'1.Params_8.Sensitivity'!$I$34</f>
        <v>946.36800000000005</v>
      </c>
      <c r="J19" s="211">
        <f>J$16*'1.Params_8.Sensitivity'!$I$34</f>
        <v>959.32800000000009</v>
      </c>
      <c r="K19" s="211">
        <f>K$16*'1.Params_8.Sensitivity'!$I$34</f>
        <v>972.57600000000002</v>
      </c>
      <c r="L19" s="211">
        <f>L$16*'1.Params_8.Sensitivity'!$I$34</f>
        <v>986.11200000000008</v>
      </c>
      <c r="M19" s="211">
        <f>M$16*'1.Params_8.Sensitivity'!$I$34</f>
        <v>999.36000000000013</v>
      </c>
      <c r="N19" s="211">
        <f>N$16*'1.Params_8.Sensitivity'!$I$34</f>
        <v>1013.1840000000001</v>
      </c>
      <c r="O19" s="211">
        <f>O$16*'1.Params_8.Sensitivity'!$I$34</f>
        <v>1027.008</v>
      </c>
      <c r="P19" s="211">
        <f>P$16*'1.Params_8.Sensitivity'!$I$34</f>
        <v>1041.1200000000001</v>
      </c>
      <c r="Q19" s="211">
        <f>Q$16*'1.Params_8.Sensitivity'!$I$34</f>
        <v>1055.232</v>
      </c>
      <c r="R19" s="211">
        <f>R$16*'1.Params_8.Sensitivity'!$I$34</f>
        <v>1069.92</v>
      </c>
      <c r="S19" s="211">
        <f>S$16*'1.Params_8.Sensitivity'!$I$34</f>
        <v>1084.6079999999999</v>
      </c>
      <c r="T19" s="211">
        <f>T$16*'1.Params_8.Sensitivity'!$I$34</f>
        <v>1099.296</v>
      </c>
      <c r="U19" s="211">
        <f>U$16*'1.Params_8.Sensitivity'!$I$34</f>
        <v>1114.2719999999999</v>
      </c>
      <c r="V19" s="211">
        <f>V$16*'1.Params_8.Sensitivity'!$I$34</f>
        <v>1129.5360000000001</v>
      </c>
      <c r="W19" s="211">
        <f>W$16*'1.Params_8.Sensitivity'!$I$34</f>
        <v>1145.088</v>
      </c>
      <c r="X19" s="211">
        <f>X$16*'1.Params_8.Sensitivity'!$I$34</f>
        <v>1160.9280000000001</v>
      </c>
      <c r="Y19" s="211">
        <f>Y$16*'1.Params_8.Sensitivity'!$I$34</f>
        <v>1176.768</v>
      </c>
      <c r="Z19" s="211">
        <f>Z$16*'1.Params_8.Sensitivity'!$I$34</f>
        <v>1192.896</v>
      </c>
      <c r="AA19" s="211">
        <f>AA$16*'1.Params_8.Sensitivity'!$I$34</f>
        <v>1209.3120000000001</v>
      </c>
      <c r="AB19" s="211">
        <f>AB$16*'1.Params_8.Sensitivity'!$I$34</f>
        <v>1225.7280000000001</v>
      </c>
      <c r="AC19" s="211">
        <f>AC$16*'1.Params_8.Sensitivity'!$I$34</f>
        <v>1242.7200000000003</v>
      </c>
      <c r="AD19" s="211">
        <f>AD$16*'1.Params_8.Sensitivity'!$I$34</f>
        <v>1259.7120000000002</v>
      </c>
      <c r="AE19" s="211">
        <f>AE$16*'1.Params_8.Sensitivity'!$I$34</f>
        <v>1276.7040000000002</v>
      </c>
      <c r="AF19" s="211">
        <f>AF$16*'1.Params_8.Sensitivity'!$I$34</f>
        <v>1294.2719999999999</v>
      </c>
    </row>
    <row r="20" spans="2:32" x14ac:dyDescent="0.55000000000000004">
      <c r="B20" s="4" t="s">
        <v>220</v>
      </c>
      <c r="C20" s="269">
        <v>0</v>
      </c>
      <c r="D20" s="269">
        <v>0</v>
      </c>
      <c r="E20" s="269">
        <v>0</v>
      </c>
      <c r="F20" s="269">
        <v>0</v>
      </c>
      <c r="G20" s="269">
        <v>0</v>
      </c>
      <c r="H20" s="211">
        <f>H$17*'1.Params_8.Sensitivity'!$I$35</f>
        <v>405</v>
      </c>
      <c r="I20" s="211">
        <f>I$17*'1.Params_8.Sensitivity'!$I$35</f>
        <v>411</v>
      </c>
      <c r="J20" s="211">
        <f>J$17*'1.Params_8.Sensitivity'!$I$35</f>
        <v>416.25</v>
      </c>
      <c r="K20" s="211">
        <f>K$17*'1.Params_8.Sensitivity'!$I$35</f>
        <v>422.25</v>
      </c>
      <c r="L20" s="211">
        <f>L$17*'1.Params_8.Sensitivity'!$I$35</f>
        <v>428.25</v>
      </c>
      <c r="M20" s="211">
        <f>M$17*'1.Params_8.Sensitivity'!$I$35</f>
        <v>433.5</v>
      </c>
      <c r="N20" s="211">
        <f>N$17*'1.Params_8.Sensitivity'!$I$35</f>
        <v>439.5</v>
      </c>
      <c r="O20" s="211">
        <f>O$17*'1.Params_8.Sensitivity'!$I$35</f>
        <v>445.5</v>
      </c>
      <c r="P20" s="211">
        <f>P$17*'1.Params_8.Sensitivity'!$I$35</f>
        <v>451.5</v>
      </c>
      <c r="Q20" s="211">
        <f>Q$17*'1.Params_8.Sensitivity'!$I$35</f>
        <v>458.25</v>
      </c>
      <c r="R20" s="211">
        <f>R$17*'1.Params_8.Sensitivity'!$I$35</f>
        <v>464.25</v>
      </c>
      <c r="S20" s="211">
        <f>S$17*'1.Params_8.Sensitivity'!$I$35</f>
        <v>471</v>
      </c>
      <c r="T20" s="211">
        <f>T$17*'1.Params_8.Sensitivity'!$I$35</f>
        <v>477</v>
      </c>
      <c r="U20" s="211">
        <f>U$17*'1.Params_8.Sensitivity'!$I$35</f>
        <v>483.75</v>
      </c>
      <c r="V20" s="211">
        <f>V$17*'1.Params_8.Sensitivity'!$I$35</f>
        <v>490.5</v>
      </c>
      <c r="W20" s="211">
        <f>W$17*'1.Params_8.Sensitivity'!$I$35</f>
        <v>497.25</v>
      </c>
      <c r="X20" s="211">
        <f>X$17*'1.Params_8.Sensitivity'!$I$35</f>
        <v>504</v>
      </c>
      <c r="Y20" s="211">
        <f>Y$17*'1.Params_8.Sensitivity'!$I$35</f>
        <v>510.75</v>
      </c>
      <c r="Z20" s="211">
        <f>Z$17*'1.Params_8.Sensitivity'!$I$35</f>
        <v>517.5</v>
      </c>
      <c r="AA20" s="211">
        <f>AA$17*'1.Params_8.Sensitivity'!$I$35</f>
        <v>525</v>
      </c>
      <c r="AB20" s="211">
        <f>AB$17*'1.Params_8.Sensitivity'!$I$35</f>
        <v>531.75</v>
      </c>
      <c r="AC20" s="211">
        <f>AC$17*'1.Params_8.Sensitivity'!$I$35</f>
        <v>539.25</v>
      </c>
      <c r="AD20" s="211">
        <f>AD$17*'1.Params_8.Sensitivity'!$I$35</f>
        <v>546.75</v>
      </c>
      <c r="AE20" s="211">
        <f>AE$17*'1.Params_8.Sensitivity'!$I$35</f>
        <v>554.25</v>
      </c>
      <c r="AF20" s="211">
        <f>AF$17*'1.Params_8.Sensitivity'!$I$35</f>
        <v>561.75</v>
      </c>
    </row>
    <row r="21" spans="2:32" x14ac:dyDescent="0.55000000000000004">
      <c r="B21" s="4" t="s">
        <v>221</v>
      </c>
      <c r="C21" s="269">
        <v>0</v>
      </c>
      <c r="D21" s="269">
        <v>0</v>
      </c>
      <c r="E21" s="269">
        <v>0</v>
      </c>
      <c r="F21" s="269">
        <v>0</v>
      </c>
      <c r="G21" s="269">
        <v>0</v>
      </c>
      <c r="H21" s="211">
        <f>SUM(H19:H20)</f>
        <v>1338.6959999999999</v>
      </c>
      <c r="I21" s="211">
        <f t="shared" ref="I21:AF21" si="0">SUM(I19:I20)</f>
        <v>1357.3679999999999</v>
      </c>
      <c r="J21" s="211">
        <f t="shared" si="0"/>
        <v>1375.578</v>
      </c>
      <c r="K21" s="211">
        <f t="shared" si="0"/>
        <v>1394.826</v>
      </c>
      <c r="L21" s="211">
        <f t="shared" si="0"/>
        <v>1414.3620000000001</v>
      </c>
      <c r="M21" s="211">
        <f t="shared" si="0"/>
        <v>1432.8600000000001</v>
      </c>
      <c r="N21" s="211">
        <f t="shared" si="0"/>
        <v>1452.6840000000002</v>
      </c>
      <c r="O21" s="211">
        <f t="shared" si="0"/>
        <v>1472.508</v>
      </c>
      <c r="P21" s="211">
        <f t="shared" si="0"/>
        <v>1492.6200000000001</v>
      </c>
      <c r="Q21" s="211">
        <f t="shared" si="0"/>
        <v>1513.482</v>
      </c>
      <c r="R21" s="211">
        <f t="shared" si="0"/>
        <v>1534.17</v>
      </c>
      <c r="S21" s="211">
        <f t="shared" si="0"/>
        <v>1555.6079999999999</v>
      </c>
      <c r="T21" s="211">
        <f t="shared" si="0"/>
        <v>1576.296</v>
      </c>
      <c r="U21" s="211">
        <f t="shared" si="0"/>
        <v>1598.0219999999999</v>
      </c>
      <c r="V21" s="211">
        <f t="shared" si="0"/>
        <v>1620.0360000000001</v>
      </c>
      <c r="W21" s="211">
        <f t="shared" si="0"/>
        <v>1642.338</v>
      </c>
      <c r="X21" s="211">
        <f t="shared" si="0"/>
        <v>1664.9280000000001</v>
      </c>
      <c r="Y21" s="211">
        <f t="shared" si="0"/>
        <v>1687.518</v>
      </c>
      <c r="Z21" s="211">
        <f t="shared" si="0"/>
        <v>1710.396</v>
      </c>
      <c r="AA21" s="211">
        <f t="shared" si="0"/>
        <v>1734.3120000000001</v>
      </c>
      <c r="AB21" s="211">
        <f t="shared" si="0"/>
        <v>1757.4780000000001</v>
      </c>
      <c r="AC21" s="211">
        <f t="shared" si="0"/>
        <v>1781.9700000000003</v>
      </c>
      <c r="AD21" s="211">
        <f t="shared" si="0"/>
        <v>1806.4620000000002</v>
      </c>
      <c r="AE21" s="211">
        <f t="shared" si="0"/>
        <v>1830.9540000000002</v>
      </c>
      <c r="AF21" s="211">
        <f t="shared" si="0"/>
        <v>1856.0219999999999</v>
      </c>
    </row>
    <row r="22" spans="2:32" x14ac:dyDescent="0.55000000000000004">
      <c r="B22" s="214" t="s">
        <v>210</v>
      </c>
      <c r="C22" s="64">
        <v>1</v>
      </c>
      <c r="D22" s="7">
        <v>2</v>
      </c>
      <c r="E22" s="64">
        <v>3</v>
      </c>
      <c r="F22" s="7">
        <v>4</v>
      </c>
      <c r="G22" s="64">
        <v>5</v>
      </c>
      <c r="H22" s="85">
        <v>6</v>
      </c>
      <c r="I22" s="86">
        <v>7</v>
      </c>
      <c r="J22" s="85">
        <v>8</v>
      </c>
      <c r="K22" s="86">
        <v>9</v>
      </c>
      <c r="L22" s="85">
        <v>10</v>
      </c>
      <c r="M22" s="86">
        <v>11</v>
      </c>
      <c r="N22" s="85">
        <v>12</v>
      </c>
      <c r="O22" s="86">
        <v>13</v>
      </c>
      <c r="P22" s="85">
        <v>14</v>
      </c>
      <c r="Q22" s="86">
        <v>15</v>
      </c>
      <c r="R22" s="85">
        <v>16</v>
      </c>
      <c r="S22" s="86">
        <v>17</v>
      </c>
      <c r="T22" s="85">
        <v>18</v>
      </c>
      <c r="U22" s="86">
        <v>19</v>
      </c>
      <c r="V22" s="85">
        <v>20</v>
      </c>
      <c r="W22" s="86">
        <v>21</v>
      </c>
      <c r="X22" s="85">
        <v>22</v>
      </c>
      <c r="Y22" s="86">
        <v>23</v>
      </c>
      <c r="Z22" s="85">
        <v>24</v>
      </c>
      <c r="AA22" s="86">
        <v>25</v>
      </c>
      <c r="AB22" s="85">
        <v>26</v>
      </c>
      <c r="AC22" s="86">
        <v>27</v>
      </c>
      <c r="AD22" s="85">
        <v>28</v>
      </c>
      <c r="AE22" s="86">
        <v>29</v>
      </c>
      <c r="AF22" s="85">
        <v>30</v>
      </c>
    </row>
    <row r="23" spans="2:32" x14ac:dyDescent="0.55000000000000004">
      <c r="B23" s="171" t="s">
        <v>222</v>
      </c>
      <c r="C23" s="269">
        <v>0</v>
      </c>
      <c r="D23" s="269">
        <v>0</v>
      </c>
      <c r="E23" s="269">
        <v>0</v>
      </c>
      <c r="F23" s="269">
        <v>0</v>
      </c>
      <c r="G23" s="269">
        <v>0</v>
      </c>
      <c r="H23" s="212">
        <f>H$10*'1.Params_8.Sensitivity'!$I$39/10^5*0.2</f>
        <v>29.388385714285718</v>
      </c>
      <c r="I23" s="212">
        <f>I$10*'1.Params_8.Sensitivity'!$I$39/10^5*0.4</f>
        <v>59.560461714285729</v>
      </c>
      <c r="J23" s="212">
        <f>J$10*'1.Params_8.Sensitivity'!$I$39/10^5*0.6</f>
        <v>90.516228000000012</v>
      </c>
      <c r="K23" s="212">
        <f>K$10*'1.Params_8.Sensitivity'!$I$39/10^5*0.8</f>
        <v>122.25568457142859</v>
      </c>
      <c r="L23" s="212">
        <f>L$10*'1.Params_8.Sensitivity'!$I$39/10^5</f>
        <v>154.77883142857144</v>
      </c>
      <c r="M23" s="212">
        <f>M$10*'1.Params_8.Sensitivity'!$I$39/10^5</f>
        <v>156.73805714285717</v>
      </c>
      <c r="N23" s="212">
        <f>N$10*'1.Params_8.Sensitivity'!$I$39/10^5</f>
        <v>158.69728285714288</v>
      </c>
      <c r="O23" s="212">
        <f>O$10*'1.Params_8.Sensitivity'!$I$39/10^5</f>
        <v>160.65650857142859</v>
      </c>
      <c r="P23" s="212">
        <f>P$10*'1.Params_8.Sensitivity'!$I$39/10^5</f>
        <v>164.57496000000003</v>
      </c>
      <c r="Q23" s="212">
        <f>Q$10*'1.Params_8.Sensitivity'!$I$39/10^5</f>
        <v>166.53418571428574</v>
      </c>
      <c r="R23" s="212">
        <f>R$10*'1.Params_8.Sensitivity'!$I$39/10^5</f>
        <v>168.49341142857145</v>
      </c>
      <c r="S23" s="212">
        <f>S$10*'1.Params_8.Sensitivity'!$I$39/10^5</f>
        <v>170.45263714285716</v>
      </c>
      <c r="T23" s="212">
        <f>T$10*'1.Params_8.Sensitivity'!$I$39/10^5</f>
        <v>172.41186285714286</v>
      </c>
      <c r="U23" s="212">
        <f>U$10*'1.Params_8.Sensitivity'!$I$39/10^5</f>
        <v>174.37108857142857</v>
      </c>
      <c r="V23" s="212">
        <f>V$10*'1.Params_8.Sensitivity'!$I$39/10^5</f>
        <v>178.28954000000004</v>
      </c>
      <c r="W23" s="212">
        <f>W$10*'1.Params_8.Sensitivity'!$I$39/10^5</f>
        <v>180.24876571428575</v>
      </c>
      <c r="X23" s="212">
        <f>X$10*'1.Params_8.Sensitivity'!$I$39/10^5</f>
        <v>182.20799142857146</v>
      </c>
      <c r="Y23" s="212">
        <f>Y$10*'1.Params_8.Sensitivity'!$I$39/10^5</f>
        <v>184.16721714285717</v>
      </c>
      <c r="Z23" s="212">
        <f>Z$10*'1.Params_8.Sensitivity'!$I$39/10^5</f>
        <v>188.08566857142858</v>
      </c>
      <c r="AA23" s="212">
        <f>AA$10*'1.Params_8.Sensitivity'!$I$39/10^5</f>
        <v>190.04489428571429</v>
      </c>
      <c r="AB23" s="212">
        <f>AB$10*'1.Params_8.Sensitivity'!$I$39/10^5</f>
        <v>192.00412000000003</v>
      </c>
      <c r="AC23" s="212">
        <f>AC$10*'1.Params_8.Sensitivity'!$I$39/10^5</f>
        <v>195.92257142857144</v>
      </c>
      <c r="AD23" s="212">
        <f>AD$10*'1.Params_8.Sensitivity'!$I$39/10^5</f>
        <v>197.88179714285715</v>
      </c>
      <c r="AE23" s="212">
        <f>AE$10*'1.Params_8.Sensitivity'!$I$39/10^5</f>
        <v>201.80024857142857</v>
      </c>
      <c r="AF23" s="212">
        <f>AF$10*'1.Params_8.Sensitivity'!$I$39/10^5</f>
        <v>203.7594742857143</v>
      </c>
    </row>
    <row r="24" spans="2:32" x14ac:dyDescent="0.55000000000000004">
      <c r="B24" s="214" t="s">
        <v>211</v>
      </c>
      <c r="C24" s="64">
        <v>1</v>
      </c>
      <c r="D24" s="7">
        <v>2</v>
      </c>
      <c r="E24" s="64">
        <v>3</v>
      </c>
      <c r="F24" s="7">
        <v>4</v>
      </c>
      <c r="G24" s="64">
        <v>5</v>
      </c>
      <c r="H24" s="85">
        <v>6</v>
      </c>
      <c r="I24" s="86">
        <v>7</v>
      </c>
      <c r="J24" s="85">
        <v>8</v>
      </c>
      <c r="K24" s="86">
        <v>9</v>
      </c>
      <c r="L24" s="85">
        <v>10</v>
      </c>
      <c r="M24" s="86">
        <v>11</v>
      </c>
      <c r="N24" s="85">
        <v>12</v>
      </c>
      <c r="O24" s="86">
        <v>13</v>
      </c>
      <c r="P24" s="85">
        <v>14</v>
      </c>
      <c r="Q24" s="86">
        <v>15</v>
      </c>
      <c r="R24" s="85">
        <v>16</v>
      </c>
      <c r="S24" s="86">
        <v>17</v>
      </c>
      <c r="T24" s="85">
        <v>18</v>
      </c>
      <c r="U24" s="86">
        <v>19</v>
      </c>
      <c r="V24" s="85">
        <v>20</v>
      </c>
      <c r="W24" s="86">
        <v>21</v>
      </c>
      <c r="X24" s="85">
        <v>22</v>
      </c>
      <c r="Y24" s="86">
        <v>23</v>
      </c>
      <c r="Z24" s="85">
        <v>24</v>
      </c>
      <c r="AA24" s="86">
        <v>25</v>
      </c>
      <c r="AB24" s="85">
        <v>26</v>
      </c>
      <c r="AC24" s="86">
        <v>27</v>
      </c>
      <c r="AD24" s="85">
        <v>28</v>
      </c>
      <c r="AE24" s="86">
        <v>29</v>
      </c>
      <c r="AF24" s="85">
        <v>30</v>
      </c>
    </row>
    <row r="25" spans="2:32" x14ac:dyDescent="0.55000000000000004">
      <c r="B25" s="171" t="s">
        <v>223</v>
      </c>
      <c r="C25" s="270">
        <v>0</v>
      </c>
      <c r="D25" s="270">
        <v>0</v>
      </c>
      <c r="E25" s="270">
        <v>0</v>
      </c>
      <c r="F25" s="270">
        <v>0</v>
      </c>
      <c r="G25" s="270">
        <v>0</v>
      </c>
      <c r="H25" s="212">
        <f>H$15*'1.Params_8.Sensitivity'!$I$41/10^5</f>
        <v>0.54552999999999996</v>
      </c>
      <c r="I25" s="212">
        <f>I$15*'1.Params_8.Sensitivity'!$I$41/10^5</f>
        <v>0.54552999999999996</v>
      </c>
      <c r="J25" s="212">
        <f>J$15*'1.Params_8.Sensitivity'!$I$41/10^5</f>
        <v>0.54552999999999996</v>
      </c>
      <c r="K25" s="212">
        <f>K$15*'1.Params_8.Sensitivity'!$I$41/10^5</f>
        <v>0.54552999999999996</v>
      </c>
      <c r="L25" s="212">
        <f>L$15*'1.Params_8.Sensitivity'!$I$41/10^5</f>
        <v>0.54552999999999996</v>
      </c>
      <c r="M25" s="212">
        <f>M$15*'1.Params_8.Sensitivity'!$I$41/10^5</f>
        <v>0.54552999999999996</v>
      </c>
      <c r="N25" s="212">
        <f>N$15*'1.Params_8.Sensitivity'!$I$41/10^5</f>
        <v>0.54552999999999996</v>
      </c>
      <c r="O25" s="212">
        <f>O$15*'1.Params_8.Sensitivity'!$I$41/10^5</f>
        <v>0.54552999999999996</v>
      </c>
      <c r="P25" s="212">
        <f>P$15*'1.Params_8.Sensitivity'!$I$41/10^5</f>
        <v>0.54552999999999996</v>
      </c>
      <c r="Q25" s="212">
        <f>Q$15*'1.Params_8.Sensitivity'!$I$41/10^5</f>
        <v>0.54552999999999996</v>
      </c>
      <c r="R25" s="212">
        <f>R$15*'1.Params_8.Sensitivity'!$I$41/10^5</f>
        <v>0.54552999999999996</v>
      </c>
      <c r="S25" s="212">
        <f>S$15*'1.Params_8.Sensitivity'!$I$41/10^5</f>
        <v>0.54552999999999996</v>
      </c>
      <c r="T25" s="212">
        <f>T$15*'1.Params_8.Sensitivity'!$I$41/10^5</f>
        <v>0.54552999999999996</v>
      </c>
      <c r="U25" s="212">
        <f>U$15*'1.Params_8.Sensitivity'!$I$41/10^5</f>
        <v>0.54552999999999996</v>
      </c>
      <c r="V25" s="212">
        <f>V$15*'1.Params_8.Sensitivity'!$I$41/10^5</f>
        <v>0.54552999999999996</v>
      </c>
      <c r="W25" s="212">
        <f>W$15*'1.Params_8.Sensitivity'!$I$41/10^5</f>
        <v>0.54552999999999996</v>
      </c>
      <c r="X25" s="212">
        <f>X$15*'1.Params_8.Sensitivity'!$I$41/10^5</f>
        <v>0.54552999999999996</v>
      </c>
      <c r="Y25" s="212">
        <f>Y$15*'1.Params_8.Sensitivity'!$I$41/10^5</f>
        <v>0.54552999999999996</v>
      </c>
      <c r="Z25" s="212">
        <f>Z$15*'1.Params_8.Sensitivity'!$I$41/10^5</f>
        <v>0.54552999999999996</v>
      </c>
      <c r="AA25" s="212">
        <f>AA$15*'1.Params_8.Sensitivity'!$I$41/10^5</f>
        <v>0.54552999999999996</v>
      </c>
      <c r="AB25" s="212">
        <f>AB$15*'1.Params_8.Sensitivity'!$I$41/10^5</f>
        <v>0.54552999999999996</v>
      </c>
      <c r="AC25" s="212">
        <f>AC$15*'1.Params_8.Sensitivity'!$I$41/10^5</f>
        <v>0.54552999999999996</v>
      </c>
      <c r="AD25" s="212">
        <f>AD$15*'1.Params_8.Sensitivity'!$I$41/10^5</f>
        <v>0.54552999999999996</v>
      </c>
      <c r="AE25" s="212">
        <f>AE$15*'1.Params_8.Sensitivity'!$I$41/10^5</f>
        <v>0.54552999999999996</v>
      </c>
      <c r="AF25" s="212">
        <f>AF$15*'1.Params_8.Sensitivity'!$I$41/10^5</f>
        <v>0.54552999999999996</v>
      </c>
    </row>
    <row r="26" spans="2:32" x14ac:dyDescent="0.55000000000000004">
      <c r="C26" s="137"/>
    </row>
  </sheetData>
  <sheetProtection algorithmName="SHA-512" hashValue="ZJkOPT5+D9Z41S4upHfEaWFzFwiFUcFRKqZNYPXrEeqsbSHCIo2mDQxc/X5mVpzNmLoTfJlkIsdHSyI2Y+GNWQ==" saltValue="AhOqyYN51T3iDzbDQFLhMw==" spinCount="100000" sheet="1" objects="1" scenarios="1" autoFilter="0"/>
  <phoneticPr fontId="3"/>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0.Contents</vt:lpstr>
      <vt:lpstr>1.Params_8.Sensitivity</vt:lpstr>
      <vt:lpstr>2a.FCosts</vt:lpstr>
      <vt:lpstr>2b.FCosts</vt:lpstr>
      <vt:lpstr>3.FBenefits</vt:lpstr>
      <vt:lpstr>4a.FAnalysis</vt:lpstr>
      <vt:lpstr>4b.FAnalysis</vt:lpstr>
      <vt:lpstr>5.ECosts</vt:lpstr>
      <vt:lpstr>6.EBenefits</vt:lpstr>
      <vt:lpstr>7a.EAnalysis</vt:lpstr>
      <vt:lpstr>7b.EAnalysis</vt:lpstr>
      <vt:lpstr>9.Results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Maxvandersleen</dc:creator>
  <cp:lastModifiedBy>笠原　龍二_KASAHARA Ryuji</cp:lastModifiedBy>
  <cp:lastPrinted>2023-02-16T04:36:46Z</cp:lastPrinted>
  <dcterms:created xsi:type="dcterms:W3CDTF">2016-08-13T09:34:09Z</dcterms:created>
  <dcterms:modified xsi:type="dcterms:W3CDTF">2024-05-02T05:11:22Z</dcterms:modified>
</cp:coreProperties>
</file>