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65" yWindow="-15" windowWidth="14805" windowHeight="402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E774" i="1" l="1"/>
  <c r="E773" i="1"/>
  <c r="F918" i="1" l="1"/>
  <c r="F927" i="1"/>
  <c r="F935" i="1"/>
  <c r="F965" i="1"/>
  <c r="F1091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86" i="1"/>
  <c r="F186" i="1"/>
  <c r="G186" i="1"/>
  <c r="E187" i="1"/>
  <c r="F187" i="1"/>
  <c r="G187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E193" i="1"/>
  <c r="F193" i="1"/>
  <c r="G193" i="1"/>
  <c r="E194" i="1"/>
  <c r="F194" i="1"/>
  <c r="G194" i="1"/>
  <c r="E195" i="1"/>
  <c r="F195" i="1"/>
  <c r="G195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E200" i="1"/>
  <c r="F200" i="1"/>
  <c r="G200" i="1"/>
  <c r="E201" i="1"/>
  <c r="F201" i="1"/>
  <c r="G201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07" i="1"/>
  <c r="F207" i="1"/>
  <c r="G207" i="1"/>
  <c r="E208" i="1"/>
  <c r="F208" i="1"/>
  <c r="G208" i="1"/>
  <c r="E209" i="1"/>
  <c r="F209" i="1"/>
  <c r="G209" i="1"/>
  <c r="E210" i="1"/>
  <c r="F210" i="1"/>
  <c r="G210" i="1"/>
  <c r="E211" i="1"/>
  <c r="F211" i="1"/>
  <c r="G211" i="1"/>
  <c r="E212" i="1"/>
  <c r="F212" i="1"/>
  <c r="G212" i="1"/>
  <c r="E213" i="1"/>
  <c r="F213" i="1"/>
  <c r="G213" i="1"/>
  <c r="E214" i="1"/>
  <c r="F214" i="1"/>
  <c r="G214" i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19" i="1"/>
  <c r="F219" i="1"/>
  <c r="G219" i="1"/>
  <c r="E220" i="1"/>
  <c r="F220" i="1"/>
  <c r="G220" i="1"/>
  <c r="E221" i="1"/>
  <c r="F221" i="1"/>
  <c r="G221" i="1"/>
  <c r="E222" i="1"/>
  <c r="F222" i="1"/>
  <c r="G222" i="1"/>
  <c r="E223" i="1"/>
  <c r="F223" i="1"/>
  <c r="G223" i="1"/>
  <c r="E224" i="1"/>
  <c r="F224" i="1"/>
  <c r="G224" i="1"/>
  <c r="E225" i="1"/>
  <c r="F225" i="1"/>
  <c r="G225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E230" i="1"/>
  <c r="F230" i="1"/>
  <c r="G230" i="1"/>
  <c r="E231" i="1"/>
  <c r="F231" i="1"/>
  <c r="G231" i="1"/>
  <c r="E232" i="1"/>
  <c r="F232" i="1"/>
  <c r="G232" i="1"/>
  <c r="E233" i="1"/>
  <c r="F233" i="1"/>
  <c r="G233" i="1"/>
  <c r="E234" i="1"/>
  <c r="F234" i="1"/>
  <c r="G234" i="1"/>
  <c r="E235" i="1"/>
  <c r="F235" i="1"/>
  <c r="G235" i="1"/>
  <c r="E236" i="1"/>
  <c r="F236" i="1"/>
  <c r="G236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47" i="1"/>
  <c r="F247" i="1"/>
  <c r="G247" i="1"/>
  <c r="E248" i="1"/>
  <c r="F248" i="1"/>
  <c r="G248" i="1"/>
  <c r="E249" i="1"/>
  <c r="F249" i="1"/>
  <c r="G249" i="1"/>
  <c r="E250" i="1"/>
  <c r="F250" i="1"/>
  <c r="G250" i="1"/>
  <c r="E251" i="1"/>
  <c r="F251" i="1"/>
  <c r="G251" i="1"/>
  <c r="E252" i="1"/>
  <c r="F252" i="1"/>
  <c r="G252" i="1"/>
  <c r="E253" i="1"/>
  <c r="F253" i="1"/>
  <c r="G253" i="1"/>
  <c r="E254" i="1"/>
  <c r="F254" i="1"/>
  <c r="G254" i="1"/>
  <c r="E255" i="1"/>
  <c r="F255" i="1"/>
  <c r="G255" i="1"/>
  <c r="E256" i="1"/>
  <c r="F256" i="1"/>
  <c r="G25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E266" i="1"/>
  <c r="F266" i="1"/>
  <c r="G266" i="1"/>
  <c r="E267" i="1"/>
  <c r="F267" i="1"/>
  <c r="G267" i="1"/>
  <c r="E268" i="1"/>
  <c r="F268" i="1"/>
  <c r="G268" i="1"/>
  <c r="E269" i="1"/>
  <c r="F269" i="1"/>
  <c r="G269" i="1"/>
  <c r="E270" i="1"/>
  <c r="F270" i="1"/>
  <c r="G270" i="1"/>
  <c r="E271" i="1"/>
  <c r="F271" i="1"/>
  <c r="G271" i="1"/>
  <c r="E272" i="1"/>
  <c r="F272" i="1"/>
  <c r="G272" i="1"/>
  <c r="E273" i="1"/>
  <c r="F273" i="1"/>
  <c r="G273" i="1"/>
  <c r="E274" i="1"/>
  <c r="F274" i="1"/>
  <c r="G274" i="1"/>
  <c r="E275" i="1"/>
  <c r="F275" i="1"/>
  <c r="G275" i="1"/>
  <c r="E276" i="1"/>
  <c r="F276" i="1"/>
  <c r="G27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82" i="1"/>
  <c r="F282" i="1"/>
  <c r="G282" i="1"/>
  <c r="E283" i="1"/>
  <c r="F283" i="1"/>
  <c r="G283" i="1"/>
  <c r="E284" i="1"/>
  <c r="F284" i="1"/>
  <c r="G284" i="1"/>
  <c r="E285" i="1"/>
  <c r="F285" i="1"/>
  <c r="G285" i="1"/>
  <c r="E286" i="1"/>
  <c r="F286" i="1"/>
  <c r="G286" i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1" i="1"/>
  <c r="F291" i="1"/>
  <c r="G291" i="1"/>
  <c r="E292" i="1"/>
  <c r="F292" i="1"/>
  <c r="G292" i="1"/>
  <c r="E293" i="1"/>
  <c r="F293" i="1"/>
  <c r="G293" i="1"/>
  <c r="E294" i="1"/>
  <c r="F294" i="1"/>
  <c r="G294" i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300" i="1"/>
  <c r="F300" i="1"/>
  <c r="G300" i="1"/>
  <c r="E301" i="1"/>
  <c r="F301" i="1"/>
  <c r="G301" i="1"/>
  <c r="E302" i="1"/>
  <c r="F302" i="1"/>
  <c r="G302" i="1"/>
  <c r="E303" i="1"/>
  <c r="F303" i="1"/>
  <c r="G303" i="1"/>
  <c r="E304" i="1"/>
  <c r="F304" i="1"/>
  <c r="G304" i="1"/>
  <c r="E305" i="1"/>
  <c r="F305" i="1"/>
  <c r="G305" i="1"/>
  <c r="E306" i="1"/>
  <c r="F306" i="1"/>
  <c r="G306" i="1"/>
  <c r="E307" i="1"/>
  <c r="F307" i="1"/>
  <c r="G307" i="1"/>
  <c r="E308" i="1"/>
  <c r="F308" i="1"/>
  <c r="G308" i="1"/>
  <c r="E309" i="1"/>
  <c r="F309" i="1"/>
  <c r="G309" i="1"/>
  <c r="E310" i="1"/>
  <c r="F310" i="1"/>
  <c r="G310" i="1"/>
  <c r="E311" i="1"/>
  <c r="F311" i="1"/>
  <c r="G311" i="1"/>
  <c r="E312" i="1"/>
  <c r="F312" i="1"/>
  <c r="G312" i="1"/>
  <c r="E313" i="1"/>
  <c r="F313" i="1"/>
  <c r="G313" i="1"/>
  <c r="E314" i="1"/>
  <c r="F314" i="1"/>
  <c r="G314" i="1"/>
  <c r="E315" i="1"/>
  <c r="F315" i="1"/>
  <c r="G315" i="1"/>
  <c r="E316" i="1"/>
  <c r="F316" i="1"/>
  <c r="G316" i="1"/>
  <c r="E317" i="1"/>
  <c r="F317" i="1"/>
  <c r="G317" i="1"/>
  <c r="E318" i="1"/>
  <c r="F318" i="1"/>
  <c r="G318" i="1"/>
  <c r="E319" i="1"/>
  <c r="F319" i="1"/>
  <c r="G319" i="1"/>
  <c r="E320" i="1"/>
  <c r="F320" i="1"/>
  <c r="G320" i="1"/>
  <c r="E321" i="1"/>
  <c r="F321" i="1"/>
  <c r="G321" i="1"/>
  <c r="E322" i="1"/>
  <c r="F322" i="1"/>
  <c r="G322" i="1"/>
  <c r="E323" i="1"/>
  <c r="F323" i="1"/>
  <c r="G323" i="1"/>
  <c r="E324" i="1"/>
  <c r="F324" i="1"/>
  <c r="G324" i="1"/>
  <c r="E325" i="1"/>
  <c r="F325" i="1"/>
  <c r="G325" i="1"/>
  <c r="E326" i="1"/>
  <c r="F326" i="1"/>
  <c r="G326" i="1"/>
  <c r="E327" i="1"/>
  <c r="F327" i="1"/>
  <c r="G327" i="1"/>
  <c r="E328" i="1"/>
  <c r="F328" i="1"/>
  <c r="G328" i="1"/>
  <c r="E329" i="1"/>
  <c r="F329" i="1"/>
  <c r="G329" i="1"/>
  <c r="E330" i="1"/>
  <c r="F330" i="1"/>
  <c r="G330" i="1"/>
  <c r="E331" i="1"/>
  <c r="F331" i="1"/>
  <c r="G331" i="1"/>
  <c r="E332" i="1"/>
  <c r="F332" i="1"/>
  <c r="G332" i="1"/>
  <c r="E333" i="1"/>
  <c r="F333" i="1"/>
  <c r="G333" i="1"/>
  <c r="E334" i="1"/>
  <c r="F334" i="1"/>
  <c r="G334" i="1"/>
  <c r="E335" i="1"/>
  <c r="F335" i="1"/>
  <c r="G335" i="1"/>
  <c r="E336" i="1"/>
  <c r="F336" i="1"/>
  <c r="G336" i="1"/>
  <c r="E337" i="1"/>
  <c r="F337" i="1"/>
  <c r="G337" i="1"/>
  <c r="E338" i="1"/>
  <c r="F338" i="1"/>
  <c r="G338" i="1"/>
  <c r="E339" i="1"/>
  <c r="F339" i="1"/>
  <c r="G339" i="1"/>
  <c r="E340" i="1"/>
  <c r="F340" i="1"/>
  <c r="G340" i="1"/>
  <c r="E341" i="1"/>
  <c r="F341" i="1"/>
  <c r="G341" i="1"/>
  <c r="E342" i="1"/>
  <c r="F342" i="1"/>
  <c r="G342" i="1"/>
  <c r="E343" i="1"/>
  <c r="F343" i="1"/>
  <c r="G343" i="1"/>
  <c r="E344" i="1"/>
  <c r="F344" i="1"/>
  <c r="G344" i="1"/>
  <c r="E345" i="1"/>
  <c r="F345" i="1"/>
  <c r="G345" i="1"/>
  <c r="E346" i="1"/>
  <c r="F346" i="1"/>
  <c r="G346" i="1"/>
  <c r="E347" i="1"/>
  <c r="F347" i="1"/>
  <c r="G347" i="1"/>
  <c r="E348" i="1"/>
  <c r="F348" i="1"/>
  <c r="G348" i="1"/>
  <c r="E349" i="1"/>
  <c r="F349" i="1"/>
  <c r="G349" i="1"/>
  <c r="E350" i="1"/>
  <c r="F350" i="1"/>
  <c r="G350" i="1"/>
  <c r="E351" i="1"/>
  <c r="F351" i="1"/>
  <c r="G351" i="1"/>
  <c r="E352" i="1"/>
  <c r="F352" i="1"/>
  <c r="G352" i="1"/>
  <c r="E353" i="1"/>
  <c r="F353" i="1"/>
  <c r="G353" i="1"/>
  <c r="E354" i="1"/>
  <c r="F354" i="1"/>
  <c r="G354" i="1"/>
  <c r="E355" i="1"/>
  <c r="F355" i="1"/>
  <c r="G355" i="1"/>
  <c r="E356" i="1"/>
  <c r="F356" i="1"/>
  <c r="G356" i="1"/>
  <c r="E357" i="1"/>
  <c r="F357" i="1"/>
  <c r="G357" i="1"/>
  <c r="E358" i="1"/>
  <c r="F358" i="1"/>
  <c r="G358" i="1"/>
  <c r="E359" i="1"/>
  <c r="F359" i="1"/>
  <c r="G359" i="1"/>
  <c r="E360" i="1"/>
  <c r="F360" i="1"/>
  <c r="G360" i="1"/>
  <c r="E361" i="1"/>
  <c r="F361" i="1"/>
  <c r="G361" i="1"/>
  <c r="E362" i="1"/>
  <c r="F362" i="1"/>
  <c r="G362" i="1"/>
  <c r="E363" i="1"/>
  <c r="F363" i="1"/>
  <c r="G363" i="1"/>
  <c r="E364" i="1"/>
  <c r="F364" i="1"/>
  <c r="G364" i="1"/>
  <c r="E365" i="1"/>
  <c r="F365" i="1"/>
  <c r="G365" i="1"/>
  <c r="E366" i="1"/>
  <c r="F366" i="1"/>
  <c r="G366" i="1"/>
  <c r="E367" i="1"/>
  <c r="F367" i="1"/>
  <c r="G367" i="1"/>
  <c r="E368" i="1"/>
  <c r="F368" i="1"/>
  <c r="G368" i="1"/>
  <c r="E369" i="1"/>
  <c r="F369" i="1"/>
  <c r="G369" i="1"/>
  <c r="E370" i="1"/>
  <c r="F370" i="1"/>
  <c r="G370" i="1"/>
  <c r="E371" i="1"/>
  <c r="F371" i="1"/>
  <c r="G371" i="1"/>
  <c r="E372" i="1"/>
  <c r="F372" i="1"/>
  <c r="G372" i="1"/>
  <c r="E373" i="1"/>
  <c r="F373" i="1"/>
  <c r="G373" i="1"/>
  <c r="E374" i="1"/>
  <c r="F374" i="1"/>
  <c r="G374" i="1"/>
  <c r="E375" i="1"/>
  <c r="F375" i="1"/>
  <c r="G375" i="1"/>
  <c r="E376" i="1"/>
  <c r="F376" i="1"/>
  <c r="G376" i="1"/>
  <c r="E377" i="1"/>
  <c r="F377" i="1"/>
  <c r="G377" i="1"/>
  <c r="E378" i="1"/>
  <c r="F378" i="1"/>
  <c r="G378" i="1"/>
  <c r="E379" i="1"/>
  <c r="F379" i="1"/>
  <c r="G379" i="1"/>
  <c r="E380" i="1"/>
  <c r="F380" i="1"/>
  <c r="G380" i="1"/>
  <c r="E381" i="1"/>
  <c r="F381" i="1"/>
  <c r="G381" i="1"/>
  <c r="E382" i="1"/>
  <c r="F382" i="1"/>
  <c r="G382" i="1"/>
  <c r="E383" i="1"/>
  <c r="F383" i="1"/>
  <c r="G383" i="1"/>
  <c r="E384" i="1"/>
  <c r="F384" i="1"/>
  <c r="G384" i="1"/>
  <c r="E385" i="1"/>
  <c r="F385" i="1"/>
  <c r="G385" i="1"/>
  <c r="E386" i="1"/>
  <c r="F386" i="1"/>
  <c r="G386" i="1"/>
  <c r="E387" i="1"/>
  <c r="F387" i="1"/>
  <c r="G387" i="1"/>
  <c r="E388" i="1"/>
  <c r="F388" i="1"/>
  <c r="G388" i="1"/>
  <c r="E389" i="1"/>
  <c r="F389" i="1"/>
  <c r="G389" i="1"/>
  <c r="E390" i="1"/>
  <c r="F390" i="1"/>
  <c r="G390" i="1"/>
  <c r="E391" i="1"/>
  <c r="F391" i="1"/>
  <c r="G391" i="1"/>
  <c r="E392" i="1"/>
  <c r="F392" i="1"/>
  <c r="G392" i="1"/>
  <c r="E393" i="1"/>
  <c r="F393" i="1"/>
  <c r="G393" i="1"/>
  <c r="E394" i="1"/>
  <c r="F394" i="1"/>
  <c r="G394" i="1"/>
  <c r="E395" i="1"/>
  <c r="F395" i="1"/>
  <c r="G395" i="1"/>
  <c r="E396" i="1"/>
  <c r="F396" i="1"/>
  <c r="G396" i="1"/>
  <c r="E397" i="1"/>
  <c r="F397" i="1"/>
  <c r="G397" i="1"/>
  <c r="E398" i="1"/>
  <c r="F398" i="1"/>
  <c r="G398" i="1"/>
  <c r="E399" i="1"/>
  <c r="F399" i="1"/>
  <c r="G399" i="1"/>
  <c r="E400" i="1"/>
  <c r="F400" i="1"/>
  <c r="G400" i="1"/>
  <c r="E401" i="1"/>
  <c r="F401" i="1"/>
  <c r="G401" i="1"/>
  <c r="E402" i="1"/>
  <c r="F402" i="1"/>
  <c r="G402" i="1"/>
  <c r="E403" i="1"/>
  <c r="F403" i="1"/>
  <c r="G403" i="1"/>
  <c r="E404" i="1"/>
  <c r="F404" i="1"/>
  <c r="G404" i="1"/>
  <c r="E405" i="1"/>
  <c r="F405" i="1"/>
  <c r="G405" i="1"/>
  <c r="E406" i="1"/>
  <c r="F406" i="1"/>
  <c r="G406" i="1"/>
  <c r="E407" i="1"/>
  <c r="F407" i="1"/>
  <c r="G407" i="1"/>
  <c r="E408" i="1"/>
  <c r="F408" i="1"/>
  <c r="G408" i="1"/>
  <c r="E409" i="1"/>
  <c r="F409" i="1"/>
  <c r="G409" i="1"/>
  <c r="E410" i="1"/>
  <c r="F410" i="1"/>
  <c r="G410" i="1"/>
  <c r="E411" i="1"/>
  <c r="F411" i="1"/>
  <c r="G411" i="1"/>
  <c r="E412" i="1"/>
  <c r="F412" i="1"/>
  <c r="G412" i="1"/>
  <c r="E413" i="1"/>
  <c r="F413" i="1"/>
  <c r="G413" i="1"/>
  <c r="E414" i="1"/>
  <c r="F414" i="1"/>
  <c r="G414" i="1"/>
  <c r="E415" i="1"/>
  <c r="F415" i="1"/>
  <c r="G415" i="1"/>
  <c r="E416" i="1"/>
  <c r="F416" i="1"/>
  <c r="G416" i="1"/>
  <c r="E417" i="1"/>
  <c r="F417" i="1"/>
  <c r="G417" i="1"/>
  <c r="E418" i="1"/>
  <c r="F418" i="1"/>
  <c r="G418" i="1"/>
  <c r="E419" i="1"/>
  <c r="F419" i="1"/>
  <c r="G419" i="1"/>
  <c r="E420" i="1"/>
  <c r="F420" i="1"/>
  <c r="G420" i="1"/>
  <c r="E421" i="1"/>
  <c r="F421" i="1"/>
  <c r="G421" i="1"/>
  <c r="E422" i="1"/>
  <c r="F422" i="1"/>
  <c r="G422" i="1"/>
  <c r="E423" i="1"/>
  <c r="F423" i="1"/>
  <c r="G423" i="1"/>
  <c r="E424" i="1"/>
  <c r="F424" i="1"/>
  <c r="G424" i="1"/>
  <c r="E425" i="1"/>
  <c r="F425" i="1"/>
  <c r="G425" i="1"/>
  <c r="E426" i="1"/>
  <c r="F426" i="1"/>
  <c r="G426" i="1"/>
  <c r="E427" i="1"/>
  <c r="F427" i="1"/>
  <c r="G427" i="1"/>
  <c r="E428" i="1"/>
  <c r="F428" i="1"/>
  <c r="G428" i="1"/>
  <c r="E429" i="1"/>
  <c r="F429" i="1"/>
  <c r="G429" i="1"/>
  <c r="E430" i="1"/>
  <c r="F430" i="1"/>
  <c r="G430" i="1"/>
  <c r="E431" i="1"/>
  <c r="F431" i="1"/>
  <c r="G431" i="1"/>
  <c r="E432" i="1"/>
  <c r="F432" i="1"/>
  <c r="G432" i="1"/>
  <c r="E433" i="1"/>
  <c r="F433" i="1"/>
  <c r="G433" i="1"/>
  <c r="E434" i="1"/>
  <c r="F434" i="1"/>
  <c r="G434" i="1"/>
  <c r="E435" i="1"/>
  <c r="F435" i="1"/>
  <c r="G435" i="1"/>
  <c r="E436" i="1"/>
  <c r="F436" i="1"/>
  <c r="G436" i="1"/>
  <c r="E437" i="1"/>
  <c r="F437" i="1"/>
  <c r="G437" i="1"/>
  <c r="E438" i="1"/>
  <c r="F438" i="1"/>
  <c r="G438" i="1"/>
  <c r="E439" i="1"/>
  <c r="F439" i="1"/>
  <c r="G439" i="1"/>
  <c r="E440" i="1"/>
  <c r="F440" i="1"/>
  <c r="G440" i="1"/>
  <c r="E441" i="1"/>
  <c r="F441" i="1"/>
  <c r="G441" i="1"/>
  <c r="E442" i="1"/>
  <c r="F442" i="1"/>
  <c r="G442" i="1"/>
  <c r="E443" i="1"/>
  <c r="F443" i="1"/>
  <c r="G443" i="1"/>
  <c r="E444" i="1"/>
  <c r="F444" i="1"/>
  <c r="G444" i="1"/>
  <c r="E445" i="1"/>
  <c r="F445" i="1"/>
  <c r="G445" i="1"/>
  <c r="E446" i="1"/>
  <c r="F446" i="1"/>
  <c r="G446" i="1"/>
  <c r="E447" i="1"/>
  <c r="F447" i="1"/>
  <c r="G447" i="1"/>
  <c r="E448" i="1"/>
  <c r="F448" i="1"/>
  <c r="G448" i="1"/>
  <c r="E449" i="1"/>
  <c r="F449" i="1"/>
  <c r="G449" i="1"/>
  <c r="E450" i="1"/>
  <c r="F450" i="1"/>
  <c r="G450" i="1"/>
  <c r="E451" i="1"/>
  <c r="F451" i="1"/>
  <c r="G451" i="1"/>
  <c r="E452" i="1"/>
  <c r="F452" i="1"/>
  <c r="G452" i="1"/>
  <c r="E453" i="1"/>
  <c r="F453" i="1"/>
  <c r="G453" i="1"/>
  <c r="E454" i="1"/>
  <c r="F454" i="1"/>
  <c r="G454" i="1"/>
  <c r="E455" i="1"/>
  <c r="F455" i="1"/>
  <c r="G455" i="1"/>
  <c r="E456" i="1"/>
  <c r="F456" i="1"/>
  <c r="G456" i="1"/>
  <c r="E457" i="1"/>
  <c r="F457" i="1"/>
  <c r="G457" i="1"/>
  <c r="E458" i="1"/>
  <c r="F458" i="1"/>
  <c r="G458" i="1"/>
  <c r="E459" i="1"/>
  <c r="F459" i="1"/>
  <c r="G459" i="1"/>
  <c r="E460" i="1"/>
  <c r="F460" i="1"/>
  <c r="G460" i="1"/>
  <c r="E461" i="1"/>
  <c r="F461" i="1"/>
  <c r="G461" i="1"/>
  <c r="E462" i="1"/>
  <c r="F462" i="1"/>
  <c r="G462" i="1"/>
  <c r="E463" i="1"/>
  <c r="F463" i="1"/>
  <c r="G463" i="1"/>
  <c r="E464" i="1"/>
  <c r="F464" i="1"/>
  <c r="G464" i="1"/>
  <c r="E465" i="1"/>
  <c r="F465" i="1"/>
  <c r="G465" i="1"/>
  <c r="E466" i="1"/>
  <c r="F466" i="1"/>
  <c r="G466" i="1"/>
  <c r="E467" i="1"/>
  <c r="F467" i="1"/>
  <c r="G467" i="1"/>
  <c r="E468" i="1"/>
  <c r="F468" i="1"/>
  <c r="G468" i="1"/>
  <c r="E469" i="1"/>
  <c r="F469" i="1"/>
  <c r="G469" i="1"/>
  <c r="E470" i="1"/>
  <c r="F470" i="1"/>
  <c r="G470" i="1"/>
  <c r="E471" i="1"/>
  <c r="F471" i="1"/>
  <c r="G471" i="1"/>
  <c r="E472" i="1"/>
  <c r="F472" i="1"/>
  <c r="G472" i="1"/>
  <c r="E473" i="1"/>
  <c r="F473" i="1"/>
  <c r="G473" i="1"/>
  <c r="E474" i="1"/>
  <c r="F474" i="1"/>
  <c r="G474" i="1"/>
  <c r="E475" i="1"/>
  <c r="F475" i="1"/>
  <c r="G475" i="1"/>
  <c r="E476" i="1"/>
  <c r="F476" i="1"/>
  <c r="G476" i="1"/>
  <c r="E477" i="1"/>
  <c r="F477" i="1"/>
  <c r="G477" i="1"/>
  <c r="E478" i="1"/>
  <c r="F478" i="1"/>
  <c r="G478" i="1"/>
  <c r="E479" i="1"/>
  <c r="F479" i="1"/>
  <c r="G479" i="1"/>
  <c r="E480" i="1"/>
  <c r="F480" i="1"/>
  <c r="G480" i="1"/>
  <c r="E481" i="1"/>
  <c r="F481" i="1"/>
  <c r="G481" i="1"/>
  <c r="E482" i="1"/>
  <c r="F482" i="1"/>
  <c r="G482" i="1"/>
  <c r="E483" i="1"/>
  <c r="F483" i="1"/>
  <c r="G483" i="1"/>
  <c r="E484" i="1"/>
  <c r="F484" i="1"/>
  <c r="G484" i="1"/>
  <c r="E485" i="1"/>
  <c r="F485" i="1"/>
  <c r="G485" i="1"/>
  <c r="E486" i="1"/>
  <c r="F486" i="1"/>
  <c r="G486" i="1"/>
  <c r="E487" i="1"/>
  <c r="F487" i="1"/>
  <c r="G487" i="1"/>
  <c r="E488" i="1"/>
  <c r="F488" i="1"/>
  <c r="G488" i="1"/>
  <c r="E489" i="1"/>
  <c r="F489" i="1"/>
  <c r="G489" i="1"/>
  <c r="E490" i="1"/>
  <c r="F490" i="1"/>
  <c r="G490" i="1"/>
  <c r="E491" i="1"/>
  <c r="F491" i="1"/>
  <c r="G491" i="1"/>
  <c r="E492" i="1"/>
  <c r="F492" i="1"/>
  <c r="G492" i="1"/>
  <c r="E493" i="1"/>
  <c r="F493" i="1"/>
  <c r="G493" i="1"/>
  <c r="E494" i="1"/>
  <c r="F494" i="1"/>
  <c r="G494" i="1"/>
  <c r="E495" i="1"/>
  <c r="F495" i="1"/>
  <c r="G495" i="1"/>
  <c r="E496" i="1"/>
  <c r="F496" i="1"/>
  <c r="G496" i="1"/>
  <c r="E497" i="1"/>
  <c r="F497" i="1"/>
  <c r="G497" i="1"/>
  <c r="E498" i="1"/>
  <c r="F498" i="1"/>
  <c r="G498" i="1"/>
  <c r="E499" i="1"/>
  <c r="F499" i="1"/>
  <c r="G499" i="1"/>
  <c r="E500" i="1"/>
  <c r="F500" i="1"/>
  <c r="G500" i="1"/>
  <c r="E501" i="1"/>
  <c r="F501" i="1"/>
  <c r="G501" i="1"/>
  <c r="E502" i="1"/>
  <c r="F502" i="1"/>
  <c r="G502" i="1"/>
  <c r="E503" i="1"/>
  <c r="F503" i="1"/>
  <c r="G503" i="1"/>
  <c r="E504" i="1"/>
  <c r="F504" i="1"/>
  <c r="G504" i="1"/>
  <c r="E505" i="1"/>
  <c r="F505" i="1"/>
  <c r="G505" i="1"/>
  <c r="E506" i="1"/>
  <c r="F506" i="1"/>
  <c r="G506" i="1"/>
  <c r="E507" i="1"/>
  <c r="F507" i="1"/>
  <c r="G507" i="1"/>
  <c r="E508" i="1"/>
  <c r="F508" i="1"/>
  <c r="G508" i="1"/>
  <c r="E509" i="1"/>
  <c r="F509" i="1"/>
  <c r="G509" i="1"/>
  <c r="E510" i="1"/>
  <c r="F510" i="1"/>
  <c r="G510" i="1"/>
  <c r="E511" i="1"/>
  <c r="F511" i="1"/>
  <c r="G511" i="1"/>
  <c r="E512" i="1"/>
  <c r="F512" i="1"/>
  <c r="G512" i="1"/>
  <c r="E513" i="1"/>
  <c r="F513" i="1"/>
  <c r="G513" i="1"/>
  <c r="E514" i="1"/>
  <c r="F514" i="1"/>
  <c r="G514" i="1"/>
  <c r="E515" i="1"/>
  <c r="F515" i="1"/>
  <c r="G515" i="1"/>
  <c r="E516" i="1"/>
  <c r="F516" i="1"/>
  <c r="G516" i="1"/>
  <c r="E517" i="1"/>
  <c r="F517" i="1"/>
  <c r="G517" i="1"/>
  <c r="E518" i="1"/>
  <c r="F518" i="1"/>
  <c r="G518" i="1"/>
  <c r="E519" i="1"/>
  <c r="F519" i="1"/>
  <c r="G519" i="1"/>
  <c r="E520" i="1"/>
  <c r="F520" i="1"/>
  <c r="G520" i="1"/>
  <c r="E521" i="1"/>
  <c r="F521" i="1"/>
  <c r="G521" i="1"/>
  <c r="E522" i="1"/>
  <c r="F522" i="1"/>
  <c r="G522" i="1"/>
  <c r="E523" i="1"/>
  <c r="F523" i="1"/>
  <c r="G523" i="1"/>
  <c r="E524" i="1"/>
  <c r="F524" i="1"/>
  <c r="G524" i="1"/>
  <c r="E525" i="1"/>
  <c r="F525" i="1"/>
  <c r="G525" i="1"/>
  <c r="E526" i="1"/>
  <c r="F526" i="1"/>
  <c r="G526" i="1"/>
  <c r="E527" i="1"/>
  <c r="F527" i="1"/>
  <c r="G527" i="1"/>
  <c r="E528" i="1"/>
  <c r="F528" i="1"/>
  <c r="G528" i="1"/>
  <c r="E529" i="1"/>
  <c r="F529" i="1"/>
  <c r="G529" i="1"/>
  <c r="E530" i="1"/>
  <c r="F530" i="1"/>
  <c r="G530" i="1"/>
  <c r="E531" i="1"/>
  <c r="F531" i="1"/>
  <c r="G531" i="1"/>
  <c r="E532" i="1"/>
  <c r="F532" i="1"/>
  <c r="G532" i="1"/>
  <c r="E533" i="1"/>
  <c r="F533" i="1"/>
  <c r="G533" i="1"/>
  <c r="E534" i="1"/>
  <c r="F534" i="1"/>
  <c r="G534" i="1"/>
  <c r="E535" i="1"/>
  <c r="F535" i="1"/>
  <c r="G535" i="1"/>
  <c r="E536" i="1"/>
  <c r="F536" i="1"/>
  <c r="G536" i="1"/>
  <c r="E537" i="1"/>
  <c r="F537" i="1"/>
  <c r="G537" i="1"/>
  <c r="E538" i="1"/>
  <c r="F538" i="1"/>
  <c r="G538" i="1"/>
  <c r="E539" i="1"/>
  <c r="F539" i="1"/>
  <c r="G539" i="1"/>
  <c r="E540" i="1"/>
  <c r="F540" i="1"/>
  <c r="G540" i="1"/>
  <c r="E541" i="1"/>
  <c r="F541" i="1"/>
  <c r="G541" i="1"/>
  <c r="E542" i="1"/>
  <c r="F542" i="1"/>
  <c r="G542" i="1"/>
  <c r="E543" i="1"/>
  <c r="F543" i="1"/>
  <c r="G543" i="1"/>
  <c r="E544" i="1"/>
  <c r="F544" i="1"/>
  <c r="G544" i="1"/>
  <c r="E545" i="1"/>
  <c r="F545" i="1"/>
  <c r="G545" i="1"/>
  <c r="E546" i="1"/>
  <c r="F546" i="1"/>
  <c r="G546" i="1"/>
  <c r="E547" i="1"/>
  <c r="F547" i="1"/>
  <c r="G547" i="1"/>
  <c r="E548" i="1"/>
  <c r="F548" i="1"/>
  <c r="G548" i="1"/>
  <c r="E549" i="1"/>
  <c r="F549" i="1"/>
  <c r="G549" i="1"/>
  <c r="E550" i="1"/>
  <c r="F550" i="1"/>
  <c r="G550" i="1"/>
  <c r="E551" i="1"/>
  <c r="F551" i="1"/>
  <c r="G551" i="1"/>
  <c r="E552" i="1"/>
  <c r="F552" i="1"/>
  <c r="G552" i="1"/>
  <c r="E553" i="1"/>
  <c r="F553" i="1"/>
  <c r="G553" i="1"/>
  <c r="E554" i="1"/>
  <c r="F554" i="1"/>
  <c r="G554" i="1"/>
  <c r="E555" i="1"/>
  <c r="F555" i="1"/>
  <c r="G555" i="1"/>
  <c r="E556" i="1"/>
  <c r="F556" i="1"/>
  <c r="G556" i="1"/>
  <c r="E557" i="1"/>
  <c r="F557" i="1"/>
  <c r="G557" i="1"/>
  <c r="E558" i="1"/>
  <c r="F558" i="1"/>
  <c r="G558" i="1"/>
  <c r="E559" i="1"/>
  <c r="F559" i="1"/>
  <c r="G559" i="1"/>
  <c r="E560" i="1"/>
  <c r="F560" i="1"/>
  <c r="G560" i="1"/>
  <c r="E561" i="1"/>
  <c r="F561" i="1"/>
  <c r="G561" i="1"/>
  <c r="E562" i="1"/>
  <c r="F562" i="1"/>
  <c r="G562" i="1"/>
  <c r="E563" i="1"/>
  <c r="F563" i="1"/>
  <c r="G563" i="1"/>
  <c r="E564" i="1"/>
  <c r="F564" i="1"/>
  <c r="G564" i="1"/>
  <c r="E565" i="1"/>
  <c r="F565" i="1"/>
  <c r="G565" i="1"/>
  <c r="E566" i="1"/>
  <c r="F566" i="1"/>
  <c r="G566" i="1"/>
  <c r="E567" i="1"/>
  <c r="F567" i="1"/>
  <c r="G567" i="1"/>
  <c r="E568" i="1"/>
  <c r="F568" i="1"/>
  <c r="G568" i="1"/>
  <c r="E569" i="1"/>
  <c r="F569" i="1"/>
  <c r="G569" i="1"/>
  <c r="E570" i="1"/>
  <c r="F570" i="1"/>
  <c r="G570" i="1"/>
  <c r="E571" i="1"/>
  <c r="F571" i="1"/>
  <c r="G571" i="1"/>
  <c r="E572" i="1"/>
  <c r="F572" i="1"/>
  <c r="G572" i="1"/>
  <c r="E573" i="1"/>
  <c r="F573" i="1"/>
  <c r="G573" i="1"/>
  <c r="E574" i="1"/>
  <c r="F574" i="1"/>
  <c r="G574" i="1"/>
  <c r="E575" i="1"/>
  <c r="F575" i="1"/>
  <c r="G575" i="1"/>
  <c r="E576" i="1"/>
  <c r="F576" i="1"/>
  <c r="G576" i="1"/>
  <c r="E577" i="1"/>
  <c r="F577" i="1"/>
  <c r="G577" i="1"/>
  <c r="E578" i="1"/>
  <c r="F578" i="1"/>
  <c r="G578" i="1"/>
  <c r="E579" i="1"/>
  <c r="F579" i="1"/>
  <c r="G579" i="1"/>
  <c r="E580" i="1"/>
  <c r="F580" i="1"/>
  <c r="G580" i="1"/>
  <c r="E581" i="1"/>
  <c r="F581" i="1"/>
  <c r="G581" i="1"/>
  <c r="E582" i="1"/>
  <c r="F582" i="1"/>
  <c r="G582" i="1"/>
  <c r="E583" i="1"/>
  <c r="F583" i="1"/>
  <c r="G583" i="1"/>
  <c r="E584" i="1"/>
  <c r="F584" i="1"/>
  <c r="G584" i="1"/>
  <c r="E585" i="1"/>
  <c r="F585" i="1"/>
  <c r="G585" i="1"/>
  <c r="E586" i="1"/>
  <c r="F586" i="1"/>
  <c r="G586" i="1"/>
  <c r="E587" i="1"/>
  <c r="F587" i="1"/>
  <c r="G587" i="1"/>
  <c r="E588" i="1"/>
  <c r="F588" i="1"/>
  <c r="G588" i="1"/>
  <c r="E589" i="1"/>
  <c r="F589" i="1"/>
  <c r="G589" i="1"/>
  <c r="E590" i="1"/>
  <c r="F590" i="1"/>
  <c r="G590" i="1"/>
  <c r="E591" i="1"/>
  <c r="F591" i="1"/>
  <c r="G591" i="1"/>
  <c r="E705" i="1"/>
  <c r="F705" i="1"/>
  <c r="G705" i="1"/>
  <c r="E706" i="1"/>
  <c r="F706" i="1"/>
  <c r="G706" i="1"/>
  <c r="E707" i="1"/>
  <c r="F707" i="1"/>
  <c r="G707" i="1"/>
  <c r="E708" i="1"/>
  <c r="F708" i="1"/>
  <c r="G708" i="1"/>
  <c r="E709" i="1"/>
  <c r="F709" i="1"/>
  <c r="G709" i="1"/>
  <c r="E710" i="1"/>
  <c r="F710" i="1"/>
  <c r="G710" i="1"/>
  <c r="E711" i="1"/>
  <c r="F711" i="1"/>
  <c r="G711" i="1"/>
  <c r="E712" i="1"/>
  <c r="F712" i="1"/>
  <c r="G712" i="1"/>
  <c r="E713" i="1"/>
  <c r="F713" i="1"/>
  <c r="G713" i="1"/>
  <c r="E714" i="1"/>
  <c r="F714" i="1"/>
  <c r="G714" i="1"/>
  <c r="E715" i="1"/>
  <c r="F715" i="1"/>
  <c r="G715" i="1"/>
  <c r="E716" i="1"/>
  <c r="F716" i="1"/>
  <c r="G716" i="1"/>
  <c r="E717" i="1"/>
  <c r="F717" i="1"/>
  <c r="G717" i="1"/>
  <c r="E718" i="1"/>
  <c r="F718" i="1"/>
  <c r="G718" i="1"/>
  <c r="E719" i="1"/>
  <c r="F719" i="1"/>
  <c r="G719" i="1"/>
  <c r="E720" i="1"/>
  <c r="F720" i="1"/>
  <c r="G720" i="1"/>
  <c r="E721" i="1"/>
  <c r="F721" i="1"/>
  <c r="G721" i="1"/>
  <c r="E722" i="1"/>
  <c r="F722" i="1"/>
  <c r="G722" i="1"/>
  <c r="E723" i="1"/>
  <c r="F723" i="1"/>
  <c r="G723" i="1"/>
  <c r="E724" i="1"/>
  <c r="F724" i="1"/>
  <c r="G724" i="1"/>
  <c r="E725" i="1"/>
  <c r="F725" i="1"/>
  <c r="G725" i="1"/>
  <c r="E726" i="1"/>
  <c r="F726" i="1"/>
  <c r="G726" i="1"/>
  <c r="E727" i="1"/>
  <c r="F727" i="1"/>
  <c r="G727" i="1"/>
  <c r="E728" i="1"/>
  <c r="F728" i="1"/>
  <c r="G728" i="1"/>
  <c r="E729" i="1"/>
  <c r="F729" i="1"/>
  <c r="G729" i="1"/>
  <c r="E730" i="1"/>
  <c r="F730" i="1"/>
  <c r="G730" i="1"/>
  <c r="E731" i="1"/>
  <c r="F731" i="1"/>
  <c r="G731" i="1"/>
  <c r="E732" i="1"/>
  <c r="F732" i="1"/>
  <c r="G732" i="1"/>
  <c r="E733" i="1"/>
  <c r="F733" i="1"/>
  <c r="G733" i="1"/>
  <c r="E734" i="1"/>
  <c r="F734" i="1"/>
  <c r="G734" i="1"/>
  <c r="E735" i="1"/>
  <c r="F735" i="1"/>
  <c r="G735" i="1"/>
  <c r="E736" i="1"/>
  <c r="F736" i="1"/>
  <c r="G736" i="1"/>
  <c r="E737" i="1"/>
  <c r="F737" i="1"/>
  <c r="G737" i="1"/>
  <c r="E738" i="1"/>
  <c r="F738" i="1"/>
  <c r="G738" i="1"/>
  <c r="E739" i="1"/>
  <c r="F739" i="1"/>
  <c r="G739" i="1"/>
  <c r="E740" i="1"/>
  <c r="F740" i="1"/>
  <c r="G740" i="1"/>
  <c r="E741" i="1"/>
  <c r="F741" i="1"/>
  <c r="G741" i="1"/>
  <c r="E742" i="1"/>
  <c r="F742" i="1"/>
  <c r="G742" i="1"/>
  <c r="E743" i="1"/>
  <c r="F743" i="1"/>
  <c r="G743" i="1"/>
  <c r="E744" i="1"/>
  <c r="F744" i="1"/>
  <c r="G744" i="1"/>
  <c r="E745" i="1"/>
  <c r="F745" i="1"/>
  <c r="G745" i="1"/>
  <c r="E746" i="1"/>
  <c r="F746" i="1"/>
  <c r="G746" i="1"/>
  <c r="E747" i="1"/>
  <c r="F747" i="1"/>
  <c r="G747" i="1"/>
  <c r="E748" i="1"/>
  <c r="F748" i="1"/>
  <c r="G748" i="1"/>
  <c r="E749" i="1"/>
  <c r="F749" i="1"/>
  <c r="G749" i="1"/>
  <c r="E750" i="1"/>
  <c r="F750" i="1"/>
  <c r="G750" i="1"/>
  <c r="E751" i="1"/>
  <c r="F751" i="1"/>
  <c r="G751" i="1"/>
  <c r="E752" i="1"/>
  <c r="F752" i="1"/>
  <c r="G752" i="1"/>
  <c r="E753" i="1"/>
  <c r="F753" i="1"/>
  <c r="G753" i="1"/>
  <c r="E754" i="1"/>
  <c r="F754" i="1"/>
  <c r="G754" i="1"/>
  <c r="E755" i="1"/>
  <c r="F755" i="1"/>
  <c r="G755" i="1"/>
  <c r="E756" i="1"/>
  <c r="F756" i="1"/>
  <c r="G756" i="1"/>
  <c r="E757" i="1"/>
  <c r="F757" i="1"/>
  <c r="G757" i="1"/>
  <c r="E758" i="1"/>
  <c r="F758" i="1"/>
  <c r="G758" i="1"/>
  <c r="E759" i="1"/>
  <c r="F759" i="1"/>
  <c r="G759" i="1"/>
  <c r="E760" i="1"/>
  <c r="F760" i="1"/>
  <c r="G760" i="1"/>
  <c r="E761" i="1"/>
  <c r="F761" i="1"/>
  <c r="G761" i="1"/>
  <c r="E762" i="1"/>
  <c r="F762" i="1"/>
  <c r="G762" i="1"/>
  <c r="E763" i="1"/>
  <c r="F763" i="1"/>
  <c r="G763" i="1"/>
  <c r="E764" i="1"/>
  <c r="F764" i="1"/>
  <c r="G764" i="1"/>
  <c r="E765" i="1"/>
  <c r="F765" i="1"/>
  <c r="G765" i="1"/>
  <c r="E766" i="1"/>
  <c r="F766" i="1"/>
  <c r="G766" i="1"/>
  <c r="E767" i="1"/>
  <c r="F767" i="1"/>
  <c r="G767" i="1"/>
  <c r="E768" i="1"/>
  <c r="F768" i="1"/>
  <c r="G768" i="1"/>
  <c r="E769" i="1"/>
  <c r="F769" i="1"/>
  <c r="G769" i="1"/>
  <c r="E770" i="1"/>
  <c r="F770" i="1"/>
  <c r="G770" i="1"/>
  <c r="E771" i="1"/>
  <c r="F771" i="1"/>
  <c r="G771" i="1"/>
  <c r="E772" i="1"/>
  <c r="F772" i="1"/>
  <c r="G772" i="1"/>
  <c r="F773" i="1"/>
  <c r="G773" i="1"/>
  <c r="F774" i="1"/>
  <c r="G774" i="1"/>
  <c r="E775" i="1"/>
  <c r="F775" i="1"/>
  <c r="G775" i="1"/>
  <c r="E776" i="1"/>
  <c r="F776" i="1"/>
  <c r="G776" i="1"/>
  <c r="E777" i="1"/>
  <c r="F777" i="1"/>
  <c r="G777" i="1"/>
  <c r="E778" i="1"/>
  <c r="F778" i="1"/>
  <c r="G778" i="1"/>
  <c r="E779" i="1"/>
  <c r="F779" i="1"/>
  <c r="G779" i="1"/>
  <c r="E780" i="1"/>
  <c r="F780" i="1"/>
  <c r="G780" i="1"/>
  <c r="E781" i="1"/>
  <c r="F781" i="1"/>
  <c r="G781" i="1"/>
  <c r="E782" i="1"/>
  <c r="F782" i="1"/>
  <c r="G782" i="1"/>
  <c r="E783" i="1"/>
  <c r="F783" i="1"/>
  <c r="G783" i="1"/>
  <c r="E784" i="1"/>
  <c r="F784" i="1"/>
  <c r="G784" i="1"/>
  <c r="E785" i="1"/>
  <c r="F785" i="1"/>
  <c r="G785" i="1"/>
  <c r="E786" i="1"/>
  <c r="F786" i="1"/>
  <c r="G786" i="1"/>
  <c r="E787" i="1"/>
  <c r="F787" i="1"/>
  <c r="G787" i="1"/>
  <c r="E788" i="1"/>
  <c r="F788" i="1"/>
  <c r="G788" i="1"/>
  <c r="E789" i="1"/>
  <c r="F789" i="1"/>
  <c r="G789" i="1"/>
  <c r="E790" i="1"/>
  <c r="F790" i="1"/>
  <c r="G790" i="1"/>
  <c r="E791" i="1"/>
  <c r="F791" i="1"/>
  <c r="G791" i="1"/>
  <c r="E792" i="1"/>
  <c r="F792" i="1"/>
  <c r="G792" i="1"/>
  <c r="E793" i="1"/>
  <c r="F793" i="1"/>
  <c r="G793" i="1"/>
  <c r="E794" i="1"/>
  <c r="F794" i="1"/>
  <c r="G794" i="1"/>
  <c r="E795" i="1"/>
  <c r="F795" i="1"/>
  <c r="G795" i="1"/>
  <c r="E796" i="1"/>
  <c r="F796" i="1"/>
  <c r="G796" i="1"/>
  <c r="E797" i="1"/>
  <c r="F797" i="1"/>
  <c r="G797" i="1"/>
  <c r="E798" i="1"/>
  <c r="F798" i="1"/>
  <c r="G798" i="1"/>
  <c r="E799" i="1"/>
  <c r="F799" i="1"/>
  <c r="G799" i="1"/>
  <c r="E800" i="1"/>
  <c r="F800" i="1"/>
  <c r="G800" i="1"/>
  <c r="E801" i="1"/>
  <c r="F801" i="1"/>
  <c r="G801" i="1"/>
  <c r="E802" i="1"/>
  <c r="F802" i="1"/>
  <c r="G802" i="1"/>
  <c r="E803" i="1"/>
  <c r="F803" i="1"/>
  <c r="G803" i="1"/>
  <c r="E804" i="1"/>
  <c r="F804" i="1"/>
  <c r="G804" i="1"/>
  <c r="E805" i="1"/>
  <c r="F805" i="1"/>
  <c r="G805" i="1"/>
  <c r="E806" i="1"/>
  <c r="F806" i="1"/>
  <c r="G806" i="1"/>
  <c r="E807" i="1"/>
  <c r="F807" i="1"/>
  <c r="G807" i="1"/>
  <c r="E808" i="1"/>
  <c r="F808" i="1"/>
  <c r="G808" i="1"/>
  <c r="E809" i="1"/>
  <c r="F809" i="1"/>
  <c r="G809" i="1"/>
  <c r="E810" i="1"/>
  <c r="F810" i="1"/>
  <c r="G810" i="1"/>
  <c r="E811" i="1"/>
  <c r="F811" i="1"/>
  <c r="G811" i="1"/>
  <c r="E812" i="1"/>
  <c r="F812" i="1"/>
  <c r="G812" i="1"/>
  <c r="E813" i="1"/>
  <c r="F813" i="1"/>
  <c r="G813" i="1"/>
  <c r="E814" i="1"/>
  <c r="F814" i="1"/>
  <c r="G814" i="1"/>
  <c r="E815" i="1"/>
  <c r="F815" i="1"/>
  <c r="G815" i="1"/>
  <c r="E816" i="1"/>
  <c r="F816" i="1"/>
  <c r="G816" i="1"/>
  <c r="E817" i="1"/>
  <c r="F817" i="1"/>
  <c r="G817" i="1"/>
  <c r="E818" i="1"/>
  <c r="F818" i="1"/>
  <c r="G818" i="1"/>
  <c r="E819" i="1"/>
  <c r="F819" i="1"/>
  <c r="G819" i="1"/>
  <c r="E820" i="1"/>
  <c r="F820" i="1"/>
  <c r="G820" i="1"/>
  <c r="E821" i="1"/>
  <c r="F821" i="1"/>
  <c r="G821" i="1"/>
  <c r="E822" i="1"/>
  <c r="F822" i="1"/>
  <c r="G822" i="1"/>
  <c r="E823" i="1"/>
  <c r="F823" i="1"/>
  <c r="G823" i="1"/>
  <c r="E824" i="1"/>
  <c r="F824" i="1"/>
  <c r="G824" i="1"/>
  <c r="E825" i="1"/>
  <c r="F825" i="1"/>
  <c r="G825" i="1"/>
  <c r="E826" i="1"/>
  <c r="F826" i="1"/>
  <c r="G826" i="1"/>
  <c r="E827" i="1"/>
  <c r="F827" i="1"/>
  <c r="G827" i="1"/>
  <c r="E828" i="1"/>
  <c r="F828" i="1"/>
  <c r="G828" i="1"/>
  <c r="E829" i="1"/>
  <c r="F829" i="1"/>
  <c r="G829" i="1"/>
  <c r="E830" i="1"/>
  <c r="F830" i="1"/>
  <c r="G830" i="1"/>
  <c r="E831" i="1"/>
  <c r="F831" i="1"/>
  <c r="G831" i="1"/>
  <c r="E832" i="1"/>
  <c r="F832" i="1"/>
  <c r="G832" i="1"/>
  <c r="E833" i="1"/>
  <c r="F833" i="1"/>
  <c r="G833" i="1"/>
  <c r="E834" i="1"/>
  <c r="F834" i="1"/>
  <c r="G834" i="1"/>
  <c r="E835" i="1"/>
  <c r="F835" i="1"/>
  <c r="G835" i="1"/>
  <c r="E836" i="1"/>
  <c r="F836" i="1"/>
  <c r="G836" i="1"/>
  <c r="E837" i="1"/>
  <c r="F837" i="1"/>
  <c r="G837" i="1"/>
  <c r="E838" i="1"/>
  <c r="F838" i="1"/>
  <c r="G838" i="1"/>
  <c r="E839" i="1"/>
  <c r="F839" i="1"/>
  <c r="G839" i="1"/>
  <c r="E840" i="1"/>
  <c r="F840" i="1"/>
  <c r="G840" i="1"/>
  <c r="E841" i="1"/>
  <c r="F841" i="1"/>
  <c r="G841" i="1"/>
  <c r="E842" i="1"/>
  <c r="F842" i="1"/>
  <c r="G842" i="1"/>
  <c r="E843" i="1"/>
  <c r="F843" i="1"/>
  <c r="G843" i="1"/>
  <c r="E844" i="1"/>
  <c r="F844" i="1"/>
  <c r="G844" i="1"/>
  <c r="E845" i="1"/>
  <c r="F845" i="1"/>
  <c r="G845" i="1"/>
  <c r="E846" i="1"/>
  <c r="F846" i="1"/>
  <c r="G846" i="1"/>
  <c r="E847" i="1"/>
  <c r="F847" i="1"/>
  <c r="G847" i="1"/>
  <c r="E848" i="1"/>
  <c r="F848" i="1"/>
  <c r="G848" i="1"/>
  <c r="E849" i="1"/>
  <c r="F849" i="1"/>
  <c r="G849" i="1"/>
  <c r="E850" i="1"/>
  <c r="F850" i="1"/>
  <c r="G850" i="1"/>
  <c r="E851" i="1"/>
  <c r="F851" i="1"/>
  <c r="G851" i="1"/>
  <c r="E852" i="1"/>
  <c r="F852" i="1"/>
  <c r="G852" i="1"/>
  <c r="E853" i="1"/>
  <c r="F853" i="1"/>
  <c r="G853" i="1"/>
  <c r="E854" i="1"/>
  <c r="F854" i="1"/>
  <c r="G854" i="1"/>
  <c r="E855" i="1"/>
  <c r="F855" i="1"/>
  <c r="G855" i="1"/>
  <c r="E856" i="1"/>
  <c r="F856" i="1"/>
  <c r="G856" i="1"/>
  <c r="E857" i="1"/>
  <c r="F857" i="1"/>
  <c r="G857" i="1"/>
  <c r="E858" i="1"/>
  <c r="F858" i="1"/>
  <c r="G858" i="1"/>
  <c r="E859" i="1"/>
  <c r="F859" i="1"/>
  <c r="G859" i="1"/>
  <c r="E860" i="1"/>
  <c r="F860" i="1"/>
  <c r="G860" i="1"/>
  <c r="E861" i="1"/>
  <c r="F861" i="1"/>
  <c r="G861" i="1"/>
  <c r="E862" i="1"/>
  <c r="F862" i="1"/>
  <c r="G862" i="1"/>
  <c r="E863" i="1"/>
  <c r="F863" i="1"/>
  <c r="G863" i="1"/>
  <c r="E864" i="1"/>
  <c r="F864" i="1"/>
  <c r="G864" i="1"/>
  <c r="E865" i="1"/>
  <c r="F865" i="1"/>
  <c r="G865" i="1"/>
  <c r="E866" i="1"/>
  <c r="F866" i="1"/>
  <c r="G866" i="1"/>
  <c r="E867" i="1"/>
  <c r="F867" i="1"/>
  <c r="G867" i="1"/>
  <c r="E868" i="1"/>
  <c r="F868" i="1"/>
  <c r="G868" i="1"/>
  <c r="E869" i="1"/>
  <c r="F869" i="1"/>
  <c r="G869" i="1"/>
  <c r="E870" i="1"/>
  <c r="F870" i="1"/>
  <c r="G870" i="1"/>
  <c r="E871" i="1"/>
  <c r="F871" i="1"/>
  <c r="G871" i="1"/>
  <c r="E872" i="1"/>
  <c r="F872" i="1"/>
  <c r="G872" i="1"/>
  <c r="E873" i="1"/>
  <c r="F873" i="1"/>
  <c r="G873" i="1"/>
  <c r="E874" i="1"/>
  <c r="F874" i="1"/>
  <c r="G874" i="1"/>
  <c r="E875" i="1"/>
  <c r="F875" i="1"/>
  <c r="G875" i="1"/>
  <c r="E876" i="1"/>
  <c r="F876" i="1"/>
  <c r="G876" i="1"/>
  <c r="E877" i="1"/>
  <c r="F877" i="1"/>
  <c r="G877" i="1"/>
  <c r="E878" i="1"/>
  <c r="F878" i="1"/>
  <c r="G878" i="1"/>
  <c r="E879" i="1"/>
  <c r="F879" i="1"/>
  <c r="G879" i="1"/>
  <c r="E880" i="1"/>
  <c r="F880" i="1"/>
  <c r="G880" i="1"/>
  <c r="E881" i="1"/>
  <c r="F881" i="1"/>
  <c r="G881" i="1"/>
  <c r="E882" i="1"/>
  <c r="F882" i="1"/>
  <c r="G882" i="1"/>
  <c r="E883" i="1"/>
  <c r="F883" i="1"/>
  <c r="G883" i="1"/>
  <c r="E884" i="1"/>
  <c r="F884" i="1"/>
  <c r="G884" i="1"/>
  <c r="E885" i="1"/>
  <c r="F885" i="1"/>
  <c r="G885" i="1"/>
  <c r="E886" i="1"/>
  <c r="F886" i="1"/>
  <c r="G886" i="1"/>
  <c r="E887" i="1"/>
  <c r="F887" i="1"/>
  <c r="G887" i="1"/>
  <c r="E888" i="1"/>
  <c r="F888" i="1"/>
  <c r="G888" i="1"/>
  <c r="E889" i="1"/>
  <c r="F889" i="1"/>
  <c r="G889" i="1"/>
  <c r="E890" i="1"/>
  <c r="F890" i="1"/>
  <c r="G890" i="1"/>
  <c r="E891" i="1"/>
  <c r="F891" i="1"/>
  <c r="G891" i="1"/>
  <c r="E892" i="1"/>
  <c r="F892" i="1"/>
  <c r="G892" i="1"/>
  <c r="E893" i="1"/>
  <c r="F893" i="1"/>
  <c r="G893" i="1"/>
  <c r="E894" i="1"/>
  <c r="F894" i="1"/>
  <c r="G894" i="1"/>
  <c r="E895" i="1"/>
  <c r="F895" i="1"/>
  <c r="G895" i="1"/>
  <c r="E896" i="1"/>
  <c r="F896" i="1"/>
  <c r="G896" i="1"/>
  <c r="E897" i="1"/>
  <c r="F897" i="1"/>
  <c r="G897" i="1"/>
  <c r="E898" i="1"/>
  <c r="F898" i="1"/>
  <c r="G898" i="1"/>
  <c r="E899" i="1"/>
  <c r="F899" i="1"/>
  <c r="G899" i="1"/>
  <c r="E900" i="1"/>
  <c r="F900" i="1"/>
  <c r="G900" i="1"/>
  <c r="E901" i="1"/>
  <c r="F901" i="1"/>
  <c r="G901" i="1"/>
  <c r="E902" i="1"/>
  <c r="F902" i="1"/>
  <c r="G902" i="1"/>
  <c r="E903" i="1"/>
  <c r="F903" i="1"/>
  <c r="G903" i="1"/>
  <c r="E904" i="1"/>
  <c r="F904" i="1"/>
  <c r="G904" i="1"/>
  <c r="E905" i="1"/>
  <c r="F905" i="1"/>
  <c r="G905" i="1"/>
  <c r="E906" i="1"/>
  <c r="F906" i="1"/>
  <c r="G906" i="1"/>
  <c r="E907" i="1"/>
  <c r="F907" i="1"/>
  <c r="G907" i="1"/>
  <c r="E908" i="1"/>
  <c r="F908" i="1"/>
  <c r="G908" i="1"/>
  <c r="E909" i="1"/>
  <c r="F909" i="1"/>
  <c r="G909" i="1"/>
  <c r="E910" i="1"/>
  <c r="F910" i="1"/>
  <c r="G910" i="1"/>
  <c r="E911" i="1"/>
  <c r="F911" i="1"/>
  <c r="G911" i="1"/>
  <c r="E912" i="1"/>
  <c r="F912" i="1"/>
  <c r="G912" i="1"/>
  <c r="E913" i="1"/>
  <c r="F913" i="1"/>
  <c r="G913" i="1"/>
  <c r="E914" i="1"/>
  <c r="F914" i="1"/>
  <c r="G914" i="1"/>
  <c r="E915" i="1"/>
  <c r="F915" i="1"/>
  <c r="G915" i="1"/>
  <c r="E916" i="1"/>
  <c r="F916" i="1"/>
  <c r="G916" i="1"/>
  <c r="E917" i="1"/>
  <c r="F917" i="1"/>
  <c r="G917" i="1"/>
  <c r="E918" i="1"/>
  <c r="G918" i="1"/>
  <c r="E919" i="1"/>
  <c r="F919" i="1"/>
  <c r="G919" i="1"/>
  <c r="E920" i="1"/>
  <c r="F920" i="1"/>
  <c r="G920" i="1"/>
  <c r="E921" i="1"/>
  <c r="F921" i="1"/>
  <c r="G921" i="1"/>
  <c r="E922" i="1"/>
  <c r="F922" i="1"/>
  <c r="G922" i="1"/>
  <c r="E923" i="1"/>
  <c r="F923" i="1"/>
  <c r="G923" i="1"/>
  <c r="E924" i="1"/>
  <c r="F924" i="1"/>
  <c r="G924" i="1"/>
  <c r="E925" i="1"/>
  <c r="F925" i="1"/>
  <c r="G925" i="1"/>
  <c r="E926" i="1"/>
  <c r="F926" i="1"/>
  <c r="G926" i="1"/>
  <c r="E927" i="1"/>
  <c r="G927" i="1"/>
  <c r="E928" i="1"/>
  <c r="F928" i="1"/>
  <c r="G928" i="1"/>
  <c r="E929" i="1"/>
  <c r="F929" i="1"/>
  <c r="G929" i="1"/>
  <c r="E930" i="1"/>
  <c r="F930" i="1"/>
  <c r="G930" i="1"/>
  <c r="E931" i="1"/>
  <c r="F931" i="1"/>
  <c r="G931" i="1"/>
  <c r="E932" i="1"/>
  <c r="F932" i="1"/>
  <c r="G932" i="1"/>
  <c r="E933" i="1"/>
  <c r="F933" i="1"/>
  <c r="G933" i="1"/>
  <c r="E934" i="1"/>
  <c r="F934" i="1"/>
  <c r="G934" i="1"/>
  <c r="E935" i="1"/>
  <c r="G935" i="1"/>
  <c r="E936" i="1"/>
  <c r="F936" i="1"/>
  <c r="G936" i="1"/>
  <c r="E937" i="1"/>
  <c r="F937" i="1"/>
  <c r="G937" i="1"/>
  <c r="E938" i="1"/>
  <c r="F938" i="1"/>
  <c r="G938" i="1"/>
  <c r="E939" i="1"/>
  <c r="F939" i="1"/>
  <c r="G939" i="1"/>
  <c r="E940" i="1"/>
  <c r="F940" i="1"/>
  <c r="G940" i="1"/>
  <c r="E941" i="1"/>
  <c r="F941" i="1"/>
  <c r="G941" i="1"/>
  <c r="E942" i="1"/>
  <c r="F942" i="1"/>
  <c r="G942" i="1"/>
  <c r="E943" i="1"/>
  <c r="F943" i="1"/>
  <c r="G943" i="1"/>
  <c r="E944" i="1"/>
  <c r="F944" i="1"/>
  <c r="G944" i="1"/>
  <c r="E945" i="1"/>
  <c r="F945" i="1"/>
  <c r="G945" i="1"/>
  <c r="E946" i="1"/>
  <c r="F946" i="1"/>
  <c r="G946" i="1"/>
  <c r="E947" i="1"/>
  <c r="F947" i="1"/>
  <c r="G947" i="1"/>
  <c r="E948" i="1"/>
  <c r="F948" i="1"/>
  <c r="G948" i="1"/>
  <c r="E949" i="1"/>
  <c r="F949" i="1"/>
  <c r="G949" i="1"/>
  <c r="E950" i="1"/>
  <c r="F950" i="1"/>
  <c r="G950" i="1"/>
  <c r="E951" i="1"/>
  <c r="F951" i="1"/>
  <c r="G951" i="1"/>
  <c r="E952" i="1"/>
  <c r="F952" i="1"/>
  <c r="G952" i="1"/>
  <c r="E953" i="1"/>
  <c r="F953" i="1"/>
  <c r="G953" i="1"/>
  <c r="E954" i="1"/>
  <c r="F954" i="1"/>
  <c r="G954" i="1"/>
  <c r="E955" i="1"/>
  <c r="F955" i="1"/>
  <c r="G955" i="1"/>
  <c r="E956" i="1"/>
  <c r="F956" i="1"/>
  <c r="G956" i="1"/>
  <c r="E957" i="1"/>
  <c r="F957" i="1"/>
  <c r="G957" i="1"/>
  <c r="E958" i="1"/>
  <c r="F958" i="1"/>
  <c r="G958" i="1"/>
  <c r="E959" i="1"/>
  <c r="F959" i="1"/>
  <c r="G959" i="1"/>
  <c r="E960" i="1"/>
  <c r="F960" i="1"/>
  <c r="G960" i="1"/>
  <c r="E961" i="1"/>
  <c r="F961" i="1"/>
  <c r="G961" i="1"/>
  <c r="E962" i="1"/>
  <c r="F962" i="1"/>
  <c r="G962" i="1"/>
  <c r="E963" i="1"/>
  <c r="F963" i="1"/>
  <c r="G963" i="1"/>
  <c r="E964" i="1"/>
  <c r="F964" i="1"/>
  <c r="G964" i="1"/>
  <c r="E965" i="1"/>
  <c r="G965" i="1"/>
  <c r="E966" i="1"/>
  <c r="F966" i="1"/>
  <c r="G966" i="1"/>
  <c r="E967" i="1"/>
  <c r="F967" i="1"/>
  <c r="G967" i="1"/>
  <c r="E968" i="1"/>
  <c r="F968" i="1"/>
  <c r="G968" i="1"/>
  <c r="E969" i="1"/>
  <c r="F969" i="1"/>
  <c r="G969" i="1"/>
  <c r="E970" i="1"/>
  <c r="F970" i="1"/>
  <c r="G970" i="1"/>
  <c r="E971" i="1"/>
  <c r="F971" i="1"/>
  <c r="G971" i="1"/>
  <c r="E972" i="1"/>
  <c r="F972" i="1"/>
  <c r="G972" i="1"/>
  <c r="E973" i="1"/>
  <c r="F973" i="1"/>
  <c r="G973" i="1"/>
  <c r="E974" i="1"/>
  <c r="F974" i="1"/>
  <c r="G974" i="1"/>
  <c r="E975" i="1"/>
  <c r="F975" i="1"/>
  <c r="G975" i="1"/>
  <c r="E976" i="1"/>
  <c r="F976" i="1"/>
  <c r="G976" i="1"/>
  <c r="E977" i="1"/>
  <c r="F977" i="1"/>
  <c r="G977" i="1"/>
  <c r="E978" i="1"/>
  <c r="F978" i="1"/>
  <c r="G978" i="1"/>
  <c r="E979" i="1"/>
  <c r="F979" i="1"/>
  <c r="G979" i="1"/>
  <c r="E980" i="1"/>
  <c r="F980" i="1"/>
  <c r="G980" i="1"/>
  <c r="E981" i="1"/>
  <c r="F981" i="1"/>
  <c r="G981" i="1"/>
  <c r="E982" i="1"/>
  <c r="F982" i="1"/>
  <c r="G982" i="1"/>
  <c r="E983" i="1"/>
  <c r="F983" i="1"/>
  <c r="G983" i="1"/>
  <c r="E984" i="1"/>
  <c r="F984" i="1"/>
  <c r="G984" i="1"/>
  <c r="E985" i="1"/>
  <c r="F985" i="1"/>
  <c r="G985" i="1"/>
  <c r="E986" i="1"/>
  <c r="F986" i="1"/>
  <c r="G986" i="1"/>
  <c r="E987" i="1"/>
  <c r="F987" i="1"/>
  <c r="G987" i="1"/>
  <c r="E988" i="1"/>
  <c r="F988" i="1"/>
  <c r="G988" i="1"/>
  <c r="E989" i="1"/>
  <c r="F989" i="1"/>
  <c r="G989" i="1"/>
  <c r="E990" i="1"/>
  <c r="F990" i="1"/>
  <c r="G990" i="1"/>
  <c r="E991" i="1"/>
  <c r="F991" i="1"/>
  <c r="G991" i="1"/>
  <c r="E992" i="1"/>
  <c r="F992" i="1"/>
  <c r="G992" i="1"/>
  <c r="E993" i="1"/>
  <c r="F993" i="1"/>
  <c r="G993" i="1"/>
  <c r="E994" i="1"/>
  <c r="F994" i="1"/>
  <c r="G994" i="1"/>
  <c r="E995" i="1"/>
  <c r="F995" i="1"/>
  <c r="G995" i="1"/>
  <c r="E996" i="1"/>
  <c r="F996" i="1"/>
  <c r="G996" i="1"/>
  <c r="E997" i="1"/>
  <c r="F997" i="1"/>
  <c r="G997" i="1"/>
  <c r="E998" i="1"/>
  <c r="F998" i="1"/>
  <c r="G998" i="1"/>
  <c r="E999" i="1"/>
  <c r="F999" i="1"/>
  <c r="G999" i="1"/>
  <c r="E1000" i="1"/>
  <c r="F1000" i="1"/>
  <c r="G1000" i="1"/>
  <c r="E1001" i="1"/>
  <c r="F1001" i="1"/>
  <c r="G1001" i="1"/>
  <c r="E1002" i="1"/>
  <c r="F1002" i="1"/>
  <c r="G1002" i="1"/>
  <c r="E1003" i="1"/>
  <c r="F1003" i="1"/>
  <c r="G1003" i="1"/>
  <c r="E1004" i="1"/>
  <c r="F1004" i="1"/>
  <c r="G1004" i="1"/>
  <c r="E1005" i="1"/>
  <c r="F1005" i="1"/>
  <c r="G1005" i="1"/>
  <c r="E1006" i="1"/>
  <c r="F1006" i="1"/>
  <c r="G1006" i="1"/>
  <c r="E1007" i="1"/>
  <c r="F1007" i="1"/>
  <c r="G1007" i="1"/>
  <c r="E1008" i="1"/>
  <c r="F1008" i="1"/>
  <c r="G1008" i="1"/>
  <c r="E1009" i="1"/>
  <c r="F1009" i="1"/>
  <c r="G1009" i="1"/>
  <c r="E1010" i="1"/>
  <c r="F1010" i="1"/>
  <c r="G1010" i="1"/>
  <c r="E1011" i="1"/>
  <c r="F1011" i="1"/>
  <c r="G1011" i="1"/>
  <c r="E1012" i="1"/>
  <c r="F1012" i="1"/>
  <c r="G1012" i="1"/>
  <c r="E1013" i="1"/>
  <c r="F1013" i="1"/>
  <c r="G1013" i="1"/>
  <c r="E1014" i="1"/>
  <c r="F1014" i="1"/>
  <c r="G1014" i="1"/>
  <c r="E1015" i="1"/>
  <c r="F1015" i="1"/>
  <c r="G1015" i="1"/>
  <c r="E1016" i="1"/>
  <c r="F1016" i="1"/>
  <c r="G1016" i="1"/>
  <c r="E1017" i="1"/>
  <c r="F1017" i="1"/>
  <c r="G1017" i="1"/>
  <c r="E1018" i="1"/>
  <c r="F1018" i="1"/>
  <c r="G1018" i="1"/>
  <c r="E1019" i="1"/>
  <c r="F1019" i="1"/>
  <c r="G1019" i="1"/>
  <c r="E1020" i="1"/>
  <c r="F1020" i="1"/>
  <c r="G1020" i="1"/>
  <c r="E1021" i="1"/>
  <c r="F1021" i="1"/>
  <c r="G1021" i="1"/>
  <c r="E1022" i="1"/>
  <c r="F1022" i="1"/>
  <c r="G1022" i="1"/>
  <c r="E1023" i="1"/>
  <c r="F1023" i="1"/>
  <c r="G1023" i="1"/>
  <c r="E1024" i="1"/>
  <c r="F1024" i="1"/>
  <c r="G1024" i="1"/>
  <c r="E1025" i="1"/>
  <c r="F1025" i="1"/>
  <c r="G1025" i="1"/>
  <c r="E1026" i="1"/>
  <c r="F1026" i="1"/>
  <c r="G1026" i="1"/>
  <c r="E1027" i="1"/>
  <c r="F1027" i="1"/>
  <c r="G1027" i="1"/>
  <c r="E1028" i="1"/>
  <c r="F1028" i="1"/>
  <c r="G1028" i="1"/>
  <c r="E1029" i="1"/>
  <c r="F1029" i="1"/>
  <c r="G1029" i="1"/>
  <c r="E1030" i="1"/>
  <c r="F1030" i="1"/>
  <c r="G1030" i="1"/>
  <c r="E1031" i="1"/>
  <c r="F1031" i="1"/>
  <c r="G1031" i="1"/>
  <c r="E1032" i="1"/>
  <c r="F1032" i="1"/>
  <c r="G1032" i="1"/>
  <c r="E1033" i="1"/>
  <c r="F1033" i="1"/>
  <c r="G1033" i="1"/>
  <c r="E1034" i="1"/>
  <c r="F1034" i="1"/>
  <c r="G1034" i="1"/>
  <c r="E1035" i="1"/>
  <c r="F1035" i="1"/>
  <c r="G1035" i="1"/>
  <c r="E1036" i="1"/>
  <c r="F1036" i="1"/>
  <c r="G1036" i="1"/>
  <c r="E1037" i="1"/>
  <c r="F1037" i="1"/>
  <c r="G1037" i="1"/>
  <c r="E1038" i="1"/>
  <c r="F1038" i="1"/>
  <c r="G1038" i="1"/>
  <c r="E1039" i="1"/>
  <c r="F1039" i="1"/>
  <c r="G1039" i="1"/>
  <c r="E1040" i="1"/>
  <c r="F1040" i="1"/>
  <c r="G1040" i="1"/>
  <c r="E1041" i="1"/>
  <c r="F1041" i="1"/>
  <c r="G1041" i="1"/>
  <c r="E1042" i="1"/>
  <c r="F1042" i="1"/>
  <c r="G1042" i="1"/>
  <c r="E1043" i="1"/>
  <c r="F1043" i="1"/>
  <c r="G1043" i="1"/>
  <c r="E1044" i="1"/>
  <c r="F1044" i="1"/>
  <c r="G1044" i="1"/>
  <c r="E1045" i="1"/>
  <c r="F1045" i="1"/>
  <c r="G1045" i="1"/>
  <c r="E1046" i="1"/>
  <c r="F1046" i="1"/>
  <c r="G1046" i="1"/>
  <c r="E1047" i="1"/>
  <c r="F1047" i="1"/>
  <c r="G1047" i="1"/>
  <c r="E1048" i="1"/>
  <c r="F1048" i="1"/>
  <c r="G1048" i="1"/>
  <c r="E1049" i="1"/>
  <c r="F1049" i="1"/>
  <c r="G1049" i="1"/>
  <c r="E1050" i="1"/>
  <c r="F1050" i="1"/>
  <c r="G1050" i="1"/>
  <c r="E1051" i="1"/>
  <c r="F1051" i="1"/>
  <c r="G1051" i="1"/>
  <c r="E1052" i="1"/>
  <c r="F1052" i="1"/>
  <c r="G1052" i="1"/>
  <c r="E1053" i="1"/>
  <c r="F1053" i="1"/>
  <c r="G1053" i="1"/>
  <c r="E1054" i="1"/>
  <c r="F1054" i="1"/>
  <c r="G1054" i="1"/>
  <c r="E1055" i="1"/>
  <c r="F1055" i="1"/>
  <c r="G1055" i="1"/>
  <c r="E1056" i="1"/>
  <c r="F1056" i="1"/>
  <c r="G1056" i="1"/>
  <c r="E1057" i="1"/>
  <c r="F1057" i="1"/>
  <c r="G1057" i="1"/>
  <c r="E1058" i="1"/>
  <c r="F1058" i="1"/>
  <c r="G1058" i="1"/>
  <c r="E1059" i="1"/>
  <c r="F1059" i="1"/>
  <c r="G1059" i="1"/>
  <c r="E1060" i="1"/>
  <c r="F1060" i="1"/>
  <c r="G1060" i="1"/>
  <c r="E1061" i="1"/>
  <c r="F1061" i="1"/>
  <c r="G1061" i="1"/>
  <c r="E1062" i="1"/>
  <c r="F1062" i="1"/>
  <c r="G1062" i="1"/>
  <c r="E1063" i="1"/>
  <c r="F1063" i="1"/>
  <c r="G1063" i="1"/>
  <c r="E1064" i="1"/>
  <c r="F1064" i="1"/>
  <c r="G1064" i="1"/>
  <c r="E1065" i="1"/>
  <c r="F1065" i="1"/>
  <c r="G1065" i="1"/>
  <c r="E1066" i="1"/>
  <c r="F1066" i="1"/>
  <c r="G1066" i="1"/>
  <c r="E1067" i="1"/>
  <c r="F1067" i="1"/>
  <c r="G1067" i="1"/>
  <c r="E1068" i="1"/>
  <c r="F1068" i="1"/>
  <c r="G1068" i="1"/>
  <c r="E1069" i="1"/>
  <c r="F1069" i="1"/>
  <c r="G1069" i="1"/>
  <c r="E1070" i="1"/>
  <c r="F1070" i="1"/>
  <c r="G1070" i="1"/>
  <c r="E1071" i="1"/>
  <c r="F1071" i="1"/>
  <c r="G1071" i="1"/>
  <c r="E1072" i="1"/>
  <c r="F1072" i="1"/>
  <c r="G1072" i="1"/>
  <c r="E1073" i="1"/>
  <c r="F1073" i="1"/>
  <c r="G1073" i="1"/>
  <c r="E1074" i="1"/>
  <c r="F1074" i="1"/>
  <c r="G1074" i="1"/>
  <c r="E1075" i="1"/>
  <c r="F1075" i="1"/>
  <c r="G1075" i="1"/>
  <c r="E1076" i="1"/>
  <c r="F1076" i="1"/>
  <c r="G1076" i="1"/>
  <c r="E1077" i="1"/>
  <c r="F1077" i="1"/>
  <c r="G1077" i="1"/>
  <c r="E1078" i="1"/>
  <c r="F1078" i="1"/>
  <c r="G1078" i="1"/>
  <c r="E1079" i="1"/>
  <c r="F1079" i="1"/>
  <c r="G1079" i="1"/>
  <c r="E1080" i="1"/>
  <c r="F1080" i="1"/>
  <c r="G1080" i="1"/>
  <c r="E1081" i="1"/>
  <c r="F1081" i="1"/>
  <c r="G1081" i="1"/>
  <c r="E1082" i="1"/>
  <c r="F1082" i="1"/>
  <c r="G1082" i="1"/>
  <c r="E1083" i="1"/>
  <c r="F1083" i="1"/>
  <c r="G1083" i="1"/>
  <c r="E1084" i="1"/>
  <c r="F1084" i="1"/>
  <c r="G1084" i="1"/>
  <c r="E1085" i="1"/>
  <c r="F1085" i="1"/>
  <c r="G1085" i="1"/>
  <c r="E1086" i="1"/>
  <c r="F1086" i="1"/>
  <c r="G1086" i="1"/>
  <c r="E1087" i="1"/>
  <c r="F1087" i="1"/>
  <c r="G1087" i="1"/>
  <c r="E1088" i="1"/>
  <c r="F1088" i="1"/>
  <c r="G1088" i="1"/>
  <c r="E1089" i="1"/>
  <c r="F1089" i="1"/>
  <c r="G1089" i="1"/>
  <c r="E1090" i="1"/>
  <c r="F1090" i="1"/>
  <c r="G1090" i="1"/>
  <c r="E1091" i="1"/>
  <c r="G1091" i="1"/>
  <c r="E1092" i="1"/>
  <c r="F1092" i="1"/>
  <c r="G1092" i="1"/>
  <c r="E1093" i="1"/>
  <c r="F1093" i="1"/>
  <c r="G1093" i="1"/>
  <c r="E1094" i="1"/>
  <c r="F1094" i="1"/>
  <c r="G1094" i="1"/>
  <c r="E1095" i="1"/>
  <c r="F1095" i="1"/>
  <c r="G1095" i="1"/>
  <c r="E1096" i="1"/>
  <c r="F1096" i="1"/>
  <c r="G1096" i="1"/>
  <c r="E1097" i="1"/>
  <c r="F1097" i="1"/>
  <c r="G1097" i="1"/>
  <c r="E1098" i="1"/>
  <c r="F1098" i="1"/>
  <c r="G1098" i="1"/>
  <c r="E1099" i="1"/>
  <c r="F1099" i="1"/>
  <c r="G1099" i="1"/>
  <c r="E1100" i="1"/>
  <c r="F1100" i="1"/>
  <c r="G1100" i="1"/>
  <c r="E1101" i="1"/>
  <c r="F1101" i="1"/>
  <c r="G1101" i="1"/>
  <c r="E1102" i="1"/>
  <c r="F1102" i="1"/>
  <c r="G1102" i="1"/>
  <c r="E1103" i="1"/>
  <c r="F1103" i="1"/>
  <c r="G1103" i="1"/>
  <c r="E1104" i="1"/>
  <c r="F1104" i="1"/>
  <c r="G1104" i="1"/>
  <c r="E1105" i="1"/>
  <c r="F1105" i="1"/>
  <c r="G1105" i="1"/>
  <c r="E1106" i="1"/>
  <c r="F1106" i="1"/>
  <c r="G1106" i="1"/>
  <c r="E1107" i="1"/>
  <c r="F1107" i="1"/>
  <c r="G1107" i="1"/>
  <c r="E1108" i="1"/>
  <c r="F1108" i="1"/>
  <c r="G1108" i="1"/>
  <c r="E1109" i="1"/>
  <c r="F1109" i="1"/>
  <c r="G1109" i="1"/>
  <c r="E1110" i="1"/>
  <c r="F1110" i="1"/>
  <c r="G1110" i="1"/>
  <c r="E1111" i="1"/>
  <c r="F1111" i="1"/>
  <c r="G1111" i="1"/>
  <c r="E1112" i="1"/>
  <c r="F1112" i="1"/>
  <c r="G1112" i="1"/>
  <c r="E1113" i="1"/>
  <c r="F1113" i="1"/>
  <c r="G1113" i="1"/>
  <c r="E1114" i="1"/>
  <c r="F1114" i="1"/>
  <c r="G1114" i="1"/>
  <c r="E1115" i="1"/>
  <c r="F1115" i="1"/>
  <c r="G1115" i="1"/>
  <c r="E1116" i="1"/>
  <c r="F1116" i="1"/>
  <c r="G1116" i="1"/>
  <c r="E1117" i="1"/>
  <c r="F1117" i="1"/>
  <c r="G1117" i="1"/>
  <c r="E1118" i="1"/>
  <c r="F1118" i="1"/>
  <c r="G1118" i="1"/>
  <c r="E1119" i="1"/>
  <c r="F1119" i="1"/>
  <c r="G1119" i="1"/>
  <c r="E1120" i="1"/>
  <c r="F1120" i="1"/>
  <c r="G1120" i="1"/>
  <c r="E1121" i="1"/>
  <c r="F1121" i="1"/>
  <c r="G1121" i="1"/>
  <c r="E1122" i="1"/>
  <c r="F1122" i="1"/>
  <c r="G1122" i="1"/>
  <c r="E1123" i="1"/>
  <c r="F1123" i="1"/>
  <c r="G1123" i="1"/>
  <c r="E1124" i="1"/>
  <c r="F1124" i="1"/>
  <c r="G1124" i="1"/>
  <c r="E1125" i="1"/>
  <c r="F1125" i="1"/>
  <c r="G1125" i="1"/>
  <c r="E1126" i="1"/>
  <c r="F1126" i="1"/>
  <c r="G1126" i="1"/>
  <c r="E1127" i="1"/>
  <c r="F1127" i="1"/>
  <c r="G1127" i="1"/>
  <c r="E1128" i="1"/>
  <c r="F1128" i="1"/>
  <c r="G1128" i="1"/>
  <c r="E1129" i="1"/>
  <c r="F1129" i="1"/>
  <c r="G1129" i="1"/>
  <c r="E1130" i="1"/>
  <c r="F1130" i="1"/>
  <c r="G1130" i="1"/>
  <c r="E1131" i="1"/>
  <c r="F1131" i="1"/>
  <c r="G1131" i="1"/>
  <c r="E1132" i="1"/>
  <c r="F1132" i="1"/>
  <c r="G1132" i="1"/>
  <c r="E1133" i="1"/>
  <c r="F1133" i="1"/>
  <c r="G1133" i="1"/>
  <c r="E1134" i="1"/>
  <c r="F1134" i="1"/>
  <c r="G1134" i="1"/>
  <c r="E1135" i="1"/>
  <c r="F1135" i="1"/>
  <c r="G1135" i="1"/>
  <c r="E1136" i="1"/>
  <c r="F1136" i="1"/>
  <c r="G1136" i="1"/>
  <c r="E1137" i="1"/>
  <c r="F1137" i="1"/>
  <c r="G1137" i="1"/>
  <c r="E1138" i="1"/>
  <c r="F1138" i="1"/>
  <c r="G1138" i="1"/>
  <c r="E1139" i="1"/>
  <c r="F1139" i="1"/>
  <c r="G1139" i="1"/>
  <c r="E1140" i="1"/>
  <c r="F1140" i="1"/>
  <c r="G1140" i="1"/>
  <c r="E1141" i="1"/>
  <c r="F1141" i="1"/>
  <c r="G1141" i="1"/>
  <c r="E1142" i="1"/>
  <c r="F1142" i="1"/>
  <c r="G1142" i="1"/>
  <c r="E1143" i="1"/>
  <c r="F1143" i="1"/>
  <c r="G1143" i="1"/>
  <c r="E1144" i="1"/>
  <c r="F1144" i="1"/>
  <c r="G1144" i="1"/>
  <c r="E1145" i="1"/>
  <c r="F1145" i="1"/>
  <c r="G1145" i="1"/>
  <c r="E1146" i="1"/>
  <c r="F1146" i="1"/>
  <c r="G1146" i="1"/>
  <c r="E1147" i="1"/>
  <c r="F1147" i="1"/>
  <c r="G1147" i="1"/>
  <c r="E1148" i="1"/>
  <c r="F1148" i="1"/>
  <c r="G1148" i="1"/>
  <c r="E1149" i="1"/>
  <c r="F1149" i="1"/>
  <c r="G1149" i="1"/>
  <c r="E1150" i="1"/>
  <c r="F1150" i="1"/>
  <c r="G1150" i="1"/>
  <c r="E1151" i="1"/>
  <c r="F1151" i="1"/>
  <c r="G1151" i="1"/>
  <c r="E1152" i="1"/>
  <c r="F1152" i="1"/>
  <c r="G1152" i="1"/>
  <c r="E1153" i="1"/>
  <c r="F1153" i="1"/>
  <c r="G1153" i="1"/>
  <c r="E1154" i="1"/>
  <c r="F1154" i="1"/>
  <c r="G1154" i="1"/>
  <c r="E1155" i="1"/>
  <c r="F1155" i="1"/>
  <c r="G1155" i="1"/>
  <c r="E1156" i="1"/>
  <c r="F1156" i="1"/>
  <c r="G1156" i="1"/>
  <c r="E1157" i="1"/>
  <c r="F1157" i="1"/>
  <c r="G1157" i="1"/>
  <c r="E1158" i="1"/>
  <c r="F1158" i="1"/>
  <c r="G1158" i="1"/>
  <c r="E1159" i="1"/>
  <c r="F1159" i="1"/>
  <c r="G1159" i="1"/>
  <c r="E1160" i="1"/>
  <c r="F1160" i="1"/>
  <c r="G1160" i="1"/>
  <c r="E1161" i="1"/>
  <c r="F1161" i="1"/>
  <c r="G1161" i="1"/>
  <c r="E1162" i="1"/>
  <c r="F1162" i="1"/>
  <c r="G1162" i="1"/>
  <c r="E1163" i="1"/>
  <c r="F1163" i="1"/>
  <c r="G1163" i="1"/>
  <c r="E1164" i="1"/>
  <c r="F1164" i="1"/>
  <c r="G1164" i="1"/>
  <c r="E1165" i="1"/>
  <c r="F1165" i="1"/>
  <c r="G1165" i="1"/>
  <c r="E1166" i="1"/>
  <c r="F1166" i="1"/>
  <c r="G1166" i="1"/>
  <c r="E1167" i="1"/>
  <c r="F1167" i="1"/>
  <c r="G1167" i="1"/>
  <c r="E1168" i="1"/>
  <c r="F1168" i="1"/>
  <c r="G1168" i="1"/>
  <c r="E1169" i="1"/>
  <c r="F1169" i="1"/>
  <c r="G1169" i="1"/>
  <c r="E1170" i="1"/>
  <c r="F1170" i="1"/>
  <c r="G1170" i="1"/>
  <c r="E1171" i="1"/>
  <c r="F1171" i="1"/>
  <c r="G1171" i="1"/>
  <c r="E1172" i="1"/>
  <c r="F1172" i="1"/>
  <c r="G1172" i="1"/>
  <c r="E1173" i="1"/>
  <c r="F1173" i="1"/>
  <c r="G1173" i="1"/>
  <c r="E1174" i="1"/>
  <c r="F1174" i="1"/>
  <c r="G1174" i="1"/>
  <c r="E1175" i="1"/>
  <c r="F1175" i="1"/>
  <c r="G1175" i="1"/>
  <c r="E1176" i="1"/>
  <c r="F1176" i="1"/>
  <c r="G1176" i="1"/>
  <c r="E1177" i="1"/>
  <c r="F1177" i="1"/>
  <c r="G1177" i="1"/>
  <c r="E1178" i="1"/>
  <c r="F1178" i="1"/>
  <c r="G1178" i="1"/>
  <c r="E1179" i="1"/>
  <c r="F1179" i="1"/>
  <c r="G1179" i="1"/>
  <c r="E1180" i="1"/>
  <c r="F1180" i="1"/>
  <c r="G1180" i="1"/>
  <c r="E1181" i="1"/>
  <c r="F1181" i="1"/>
  <c r="G1181" i="1"/>
  <c r="E1182" i="1"/>
  <c r="F1182" i="1"/>
  <c r="G1182" i="1"/>
  <c r="E1183" i="1"/>
  <c r="F1183" i="1"/>
  <c r="G1183" i="1"/>
  <c r="E1184" i="1"/>
  <c r="F1184" i="1"/>
  <c r="G1184" i="1"/>
  <c r="E1185" i="1"/>
  <c r="F1185" i="1"/>
  <c r="G1185" i="1"/>
  <c r="E1186" i="1"/>
  <c r="F1186" i="1"/>
  <c r="G1186" i="1"/>
  <c r="E1187" i="1"/>
  <c r="F1187" i="1"/>
  <c r="G1187" i="1"/>
  <c r="E1188" i="1"/>
  <c r="F1188" i="1"/>
  <c r="G1188" i="1"/>
  <c r="E1189" i="1"/>
  <c r="F1189" i="1"/>
  <c r="G1189" i="1"/>
  <c r="E1190" i="1"/>
  <c r="F1190" i="1"/>
  <c r="G1190" i="1"/>
  <c r="E1191" i="1"/>
  <c r="F1191" i="1"/>
  <c r="G1191" i="1"/>
  <c r="E1192" i="1"/>
  <c r="F1192" i="1"/>
  <c r="G1192" i="1"/>
  <c r="E1193" i="1"/>
  <c r="F1193" i="1"/>
  <c r="G1193" i="1"/>
  <c r="E1194" i="1"/>
  <c r="F1194" i="1"/>
  <c r="G1194" i="1"/>
  <c r="E1195" i="1"/>
  <c r="F1195" i="1"/>
  <c r="G1195" i="1"/>
  <c r="E1196" i="1"/>
  <c r="F1196" i="1"/>
  <c r="G1196" i="1"/>
  <c r="E1197" i="1"/>
  <c r="F1197" i="1"/>
  <c r="G1197" i="1"/>
  <c r="E1198" i="1"/>
  <c r="F1198" i="1"/>
  <c r="G1198" i="1"/>
  <c r="E1200" i="1"/>
  <c r="F1200" i="1"/>
  <c r="G1200" i="1"/>
  <c r="E1201" i="1"/>
  <c r="F1201" i="1"/>
  <c r="G1201" i="1"/>
  <c r="E1202" i="1"/>
  <c r="F1202" i="1"/>
  <c r="G1202" i="1"/>
  <c r="E1203" i="1"/>
  <c r="F1203" i="1"/>
  <c r="G1203" i="1"/>
  <c r="E1204" i="1"/>
  <c r="F1204" i="1"/>
  <c r="G1204" i="1"/>
  <c r="E1205" i="1"/>
  <c r="F1205" i="1"/>
  <c r="G1205" i="1"/>
  <c r="E1206" i="1"/>
  <c r="F1206" i="1"/>
  <c r="G1206" i="1"/>
  <c r="E1207" i="1"/>
  <c r="F1207" i="1"/>
  <c r="G1207" i="1"/>
  <c r="E1208" i="1"/>
  <c r="F1208" i="1"/>
  <c r="G1208" i="1"/>
  <c r="E1209" i="1"/>
  <c r="F1209" i="1"/>
  <c r="G1209" i="1"/>
  <c r="E1210" i="1"/>
  <c r="F1210" i="1"/>
  <c r="G1210" i="1"/>
  <c r="E1211" i="1"/>
  <c r="F1211" i="1"/>
  <c r="G1211" i="1"/>
  <c r="E1212" i="1"/>
  <c r="F1212" i="1"/>
  <c r="G1212" i="1"/>
  <c r="E1213" i="1"/>
  <c r="F1213" i="1"/>
  <c r="G1213" i="1"/>
  <c r="E1214" i="1"/>
  <c r="F1214" i="1"/>
  <c r="G1214" i="1"/>
  <c r="E1215" i="1"/>
  <c r="F1215" i="1"/>
  <c r="G1215" i="1"/>
  <c r="E1216" i="1"/>
  <c r="F1216" i="1"/>
  <c r="G1216" i="1"/>
  <c r="E1217" i="1"/>
  <c r="F1217" i="1"/>
  <c r="G1217" i="1"/>
  <c r="E1218" i="1"/>
  <c r="F1218" i="1"/>
  <c r="G1218" i="1"/>
  <c r="E1219" i="1"/>
  <c r="F1219" i="1"/>
  <c r="G1219" i="1"/>
  <c r="E1220" i="1"/>
  <c r="F1220" i="1"/>
  <c r="G1220" i="1"/>
  <c r="E1221" i="1"/>
  <c r="F1221" i="1"/>
  <c r="G1221" i="1"/>
  <c r="E1222" i="1"/>
  <c r="F1222" i="1"/>
  <c r="G1222" i="1"/>
  <c r="E1223" i="1"/>
  <c r="F1223" i="1"/>
  <c r="G1223" i="1"/>
  <c r="E1224" i="1"/>
  <c r="F1224" i="1"/>
  <c r="G1224" i="1"/>
  <c r="E1225" i="1"/>
  <c r="F1225" i="1"/>
  <c r="G1225" i="1"/>
  <c r="E1226" i="1"/>
  <c r="F1226" i="1"/>
  <c r="G1226" i="1"/>
  <c r="E1227" i="1"/>
  <c r="F1227" i="1"/>
  <c r="G1227" i="1"/>
  <c r="E1228" i="1"/>
  <c r="F1228" i="1"/>
  <c r="G1228" i="1"/>
  <c r="E1229" i="1"/>
  <c r="F1229" i="1"/>
  <c r="G1229" i="1"/>
  <c r="E1230" i="1"/>
  <c r="F1230" i="1"/>
  <c r="G1230" i="1"/>
  <c r="E1231" i="1"/>
  <c r="F1231" i="1"/>
  <c r="G1231" i="1"/>
  <c r="E1232" i="1"/>
  <c r="F1232" i="1"/>
  <c r="G1232" i="1"/>
  <c r="E1233" i="1"/>
  <c r="F1233" i="1"/>
  <c r="G1233" i="1"/>
  <c r="E1234" i="1"/>
  <c r="F1234" i="1"/>
  <c r="G1234" i="1"/>
  <c r="E1235" i="1"/>
  <c r="F1235" i="1"/>
  <c r="G1235" i="1"/>
  <c r="E1236" i="1"/>
  <c r="F1236" i="1"/>
  <c r="G1236" i="1"/>
  <c r="E1237" i="1"/>
  <c r="F1237" i="1"/>
  <c r="G1237" i="1"/>
  <c r="E1238" i="1"/>
  <c r="F1238" i="1"/>
  <c r="G1238" i="1"/>
  <c r="E1239" i="1"/>
  <c r="F1239" i="1"/>
  <c r="G1239" i="1"/>
  <c r="E1240" i="1"/>
  <c r="F1240" i="1"/>
  <c r="G1240" i="1"/>
  <c r="E1241" i="1"/>
  <c r="F1241" i="1"/>
  <c r="G1241" i="1"/>
  <c r="E1242" i="1"/>
  <c r="F1242" i="1"/>
  <c r="G1242" i="1"/>
  <c r="E1243" i="1"/>
  <c r="F1243" i="1"/>
  <c r="G1243" i="1"/>
  <c r="E1244" i="1"/>
  <c r="F1244" i="1"/>
  <c r="G1244" i="1"/>
  <c r="E1245" i="1"/>
  <c r="F1245" i="1"/>
  <c r="G1245" i="1"/>
  <c r="E1246" i="1"/>
  <c r="F1246" i="1"/>
  <c r="G1246" i="1"/>
  <c r="E1247" i="1"/>
  <c r="F1247" i="1"/>
  <c r="G1247" i="1"/>
  <c r="E1248" i="1"/>
  <c r="F1248" i="1"/>
  <c r="G1248" i="1"/>
  <c r="E1249" i="1"/>
  <c r="F1249" i="1"/>
  <c r="G1249" i="1"/>
  <c r="E1250" i="1"/>
  <c r="F1250" i="1"/>
  <c r="G1250" i="1"/>
  <c r="E1251" i="1"/>
  <c r="F1251" i="1"/>
  <c r="G1251" i="1"/>
  <c r="E1252" i="1"/>
  <c r="F1252" i="1"/>
  <c r="G1252" i="1"/>
  <c r="E1253" i="1"/>
  <c r="F1253" i="1"/>
  <c r="G1253" i="1"/>
  <c r="E1254" i="1"/>
  <c r="F1254" i="1"/>
  <c r="G1254" i="1"/>
  <c r="E1255" i="1"/>
  <c r="F1255" i="1"/>
  <c r="G1255" i="1"/>
  <c r="E1256" i="1"/>
  <c r="F1256" i="1"/>
  <c r="G1256" i="1"/>
  <c r="E1257" i="1"/>
  <c r="F1257" i="1"/>
  <c r="G1257" i="1"/>
  <c r="E1258" i="1"/>
  <c r="F1258" i="1"/>
  <c r="G1258" i="1"/>
  <c r="E1259" i="1"/>
  <c r="F1259" i="1"/>
  <c r="G1259" i="1"/>
  <c r="E1260" i="1"/>
  <c r="F1260" i="1"/>
  <c r="G1260" i="1"/>
  <c r="E1261" i="1"/>
  <c r="F1261" i="1"/>
  <c r="G1261" i="1"/>
  <c r="E1262" i="1"/>
  <c r="F1262" i="1"/>
  <c r="G1262" i="1"/>
  <c r="E1263" i="1"/>
  <c r="F1263" i="1"/>
  <c r="G1263" i="1"/>
  <c r="E1264" i="1"/>
  <c r="F1264" i="1"/>
  <c r="G1264" i="1"/>
  <c r="E1265" i="1"/>
  <c r="F1265" i="1"/>
  <c r="G1265" i="1"/>
  <c r="E1266" i="1"/>
  <c r="F1266" i="1"/>
  <c r="G1266" i="1"/>
  <c r="E1267" i="1"/>
  <c r="F1267" i="1"/>
  <c r="G1267" i="1"/>
  <c r="E1268" i="1"/>
  <c r="F1268" i="1"/>
  <c r="G1268" i="1"/>
  <c r="E1269" i="1"/>
  <c r="F1269" i="1"/>
  <c r="G1269" i="1"/>
  <c r="E1270" i="1"/>
  <c r="F1270" i="1"/>
  <c r="G1270" i="1"/>
  <c r="E1271" i="1"/>
  <c r="F1271" i="1"/>
  <c r="G1271" i="1"/>
  <c r="E1272" i="1"/>
  <c r="F1272" i="1"/>
  <c r="G1272" i="1"/>
  <c r="E1273" i="1"/>
  <c r="F1273" i="1"/>
  <c r="G1273" i="1"/>
  <c r="E1274" i="1"/>
  <c r="F1274" i="1"/>
  <c r="G1274" i="1"/>
  <c r="E1275" i="1"/>
  <c r="F1275" i="1"/>
  <c r="G1275" i="1"/>
  <c r="E1276" i="1"/>
  <c r="F1276" i="1"/>
  <c r="G1276" i="1"/>
  <c r="E1277" i="1"/>
  <c r="F1277" i="1"/>
  <c r="G1277" i="1"/>
  <c r="E1278" i="1"/>
  <c r="F1278" i="1"/>
  <c r="G1278" i="1"/>
  <c r="E1279" i="1"/>
  <c r="F1279" i="1"/>
  <c r="G1279" i="1"/>
  <c r="E1280" i="1"/>
  <c r="F1280" i="1"/>
  <c r="G1280" i="1"/>
  <c r="E1281" i="1"/>
  <c r="F1281" i="1"/>
  <c r="G1281" i="1"/>
  <c r="E1282" i="1"/>
  <c r="F1282" i="1"/>
  <c r="G1282" i="1"/>
  <c r="E1283" i="1"/>
  <c r="F1283" i="1"/>
  <c r="G1283" i="1"/>
  <c r="E1284" i="1"/>
  <c r="F1284" i="1"/>
  <c r="G1284" i="1"/>
  <c r="E1285" i="1"/>
  <c r="F1285" i="1"/>
  <c r="G1285" i="1"/>
  <c r="E1286" i="1"/>
  <c r="F1286" i="1"/>
  <c r="G1286" i="1"/>
  <c r="E1287" i="1"/>
  <c r="F1287" i="1"/>
  <c r="G1287" i="1"/>
  <c r="E1288" i="1"/>
  <c r="F1288" i="1"/>
  <c r="G1288" i="1"/>
  <c r="E1289" i="1"/>
  <c r="F1289" i="1"/>
  <c r="G1289" i="1"/>
  <c r="E1290" i="1"/>
  <c r="F1290" i="1"/>
  <c r="G1290" i="1"/>
  <c r="E1291" i="1"/>
  <c r="F1291" i="1"/>
  <c r="G1291" i="1"/>
  <c r="E1292" i="1"/>
  <c r="F1292" i="1"/>
  <c r="G1292" i="1"/>
  <c r="E1293" i="1"/>
  <c r="F1293" i="1"/>
  <c r="G1293" i="1"/>
  <c r="E1294" i="1"/>
  <c r="F1294" i="1"/>
  <c r="G1294" i="1"/>
  <c r="E1295" i="1"/>
  <c r="F1295" i="1"/>
  <c r="G1295" i="1"/>
  <c r="E1296" i="1"/>
  <c r="F1296" i="1"/>
  <c r="G1296" i="1"/>
  <c r="E1297" i="1"/>
  <c r="F1297" i="1"/>
  <c r="G1297" i="1"/>
  <c r="E1298" i="1"/>
  <c r="F1298" i="1"/>
  <c r="G1298" i="1"/>
  <c r="E1299" i="1"/>
  <c r="F1299" i="1"/>
  <c r="G1299" i="1"/>
  <c r="E1300" i="1"/>
  <c r="F1300" i="1"/>
  <c r="G1300" i="1"/>
  <c r="E1301" i="1"/>
  <c r="F1301" i="1"/>
  <c r="G1301" i="1"/>
  <c r="E1302" i="1"/>
  <c r="F1302" i="1"/>
  <c r="G1302" i="1"/>
  <c r="E1303" i="1"/>
  <c r="F1303" i="1"/>
  <c r="G1303" i="1"/>
  <c r="E1304" i="1"/>
  <c r="F1304" i="1"/>
  <c r="G1304" i="1"/>
  <c r="E1305" i="1"/>
  <c r="F1305" i="1"/>
  <c r="G1305" i="1"/>
  <c r="E1306" i="1"/>
  <c r="F1306" i="1"/>
  <c r="G1306" i="1"/>
  <c r="E1307" i="1"/>
  <c r="F1307" i="1"/>
  <c r="G1307" i="1"/>
  <c r="E1308" i="1"/>
  <c r="F1308" i="1"/>
  <c r="G1308" i="1"/>
  <c r="E1309" i="1"/>
  <c r="F1309" i="1"/>
  <c r="G1309" i="1"/>
  <c r="E1310" i="1"/>
  <c r="F1310" i="1"/>
  <c r="G1310" i="1"/>
  <c r="E1311" i="1"/>
  <c r="F1311" i="1"/>
  <c r="G1311" i="1"/>
  <c r="E1312" i="1"/>
  <c r="F1312" i="1"/>
  <c r="G1312" i="1"/>
  <c r="E1313" i="1"/>
  <c r="F1313" i="1"/>
  <c r="G1313" i="1"/>
  <c r="E1314" i="1"/>
  <c r="F1314" i="1"/>
  <c r="G1314" i="1"/>
  <c r="E1315" i="1"/>
  <c r="F1315" i="1"/>
  <c r="G1315" i="1"/>
  <c r="E1316" i="1"/>
  <c r="F1316" i="1"/>
  <c r="G1316" i="1"/>
  <c r="E1317" i="1"/>
  <c r="F1317" i="1"/>
  <c r="G1317" i="1"/>
  <c r="E1318" i="1"/>
  <c r="F1318" i="1"/>
  <c r="G1318" i="1"/>
  <c r="E1319" i="1"/>
  <c r="F1319" i="1"/>
  <c r="G1319" i="1"/>
  <c r="E1320" i="1"/>
  <c r="F1320" i="1"/>
  <c r="G1320" i="1"/>
  <c r="E1321" i="1"/>
  <c r="F1321" i="1"/>
  <c r="G1321" i="1"/>
  <c r="E1322" i="1"/>
  <c r="F1322" i="1"/>
  <c r="G1322" i="1"/>
  <c r="E1323" i="1"/>
  <c r="F1323" i="1"/>
  <c r="G1323" i="1"/>
  <c r="E1324" i="1"/>
  <c r="F1324" i="1"/>
  <c r="G1324" i="1"/>
  <c r="E1325" i="1"/>
  <c r="F1325" i="1"/>
  <c r="G1325" i="1"/>
  <c r="E1326" i="1"/>
  <c r="F1326" i="1"/>
  <c r="G1326" i="1"/>
  <c r="E1327" i="1"/>
  <c r="F1327" i="1"/>
  <c r="G1327" i="1"/>
  <c r="E1328" i="1"/>
  <c r="F1328" i="1"/>
  <c r="G1328" i="1"/>
  <c r="E1329" i="1"/>
  <c r="F1329" i="1"/>
  <c r="G1329" i="1"/>
  <c r="E1330" i="1"/>
  <c r="F1330" i="1"/>
  <c r="G1330" i="1"/>
  <c r="E1331" i="1"/>
  <c r="F1331" i="1"/>
  <c r="G1331" i="1"/>
  <c r="E1332" i="1"/>
  <c r="F1332" i="1"/>
  <c r="G1332" i="1"/>
  <c r="E1333" i="1"/>
  <c r="F1333" i="1"/>
  <c r="G1333" i="1"/>
  <c r="E1334" i="1"/>
  <c r="F1334" i="1"/>
  <c r="G1334" i="1"/>
  <c r="E1335" i="1"/>
  <c r="F1335" i="1"/>
  <c r="G1335" i="1"/>
  <c r="E1336" i="1"/>
  <c r="F1336" i="1"/>
  <c r="G1336" i="1"/>
  <c r="E1337" i="1"/>
  <c r="F1337" i="1"/>
  <c r="G1337" i="1"/>
  <c r="E1338" i="1"/>
  <c r="F1338" i="1"/>
  <c r="G1338" i="1"/>
  <c r="E1339" i="1"/>
  <c r="F1339" i="1"/>
  <c r="G1339" i="1"/>
  <c r="E1340" i="1"/>
  <c r="F1340" i="1"/>
  <c r="G1340" i="1"/>
  <c r="E1341" i="1"/>
  <c r="F1341" i="1"/>
  <c r="G1341" i="1"/>
  <c r="E1342" i="1"/>
  <c r="F1342" i="1"/>
  <c r="G1342" i="1"/>
  <c r="E1343" i="1"/>
  <c r="F1343" i="1"/>
  <c r="G1343" i="1"/>
  <c r="E1344" i="1"/>
  <c r="F1344" i="1"/>
  <c r="G1344" i="1"/>
  <c r="E1345" i="1"/>
  <c r="F1345" i="1"/>
  <c r="G1345" i="1"/>
  <c r="E1346" i="1"/>
  <c r="F1346" i="1"/>
  <c r="G1346" i="1"/>
  <c r="E1347" i="1"/>
  <c r="F1347" i="1"/>
  <c r="G1347" i="1"/>
  <c r="E1348" i="1"/>
  <c r="F1348" i="1"/>
  <c r="G1348" i="1"/>
  <c r="E1349" i="1"/>
  <c r="F1349" i="1"/>
  <c r="G1349" i="1"/>
  <c r="E1350" i="1"/>
  <c r="F1350" i="1"/>
  <c r="G1350" i="1"/>
  <c r="E1351" i="1"/>
  <c r="F1351" i="1"/>
  <c r="G1351" i="1"/>
  <c r="E1352" i="1"/>
  <c r="F1352" i="1"/>
  <c r="G1352" i="1"/>
  <c r="E1353" i="1"/>
  <c r="F1353" i="1"/>
  <c r="G1353" i="1"/>
  <c r="E1354" i="1"/>
  <c r="F1354" i="1"/>
  <c r="G1354" i="1"/>
  <c r="E1355" i="1"/>
  <c r="F1355" i="1"/>
  <c r="G1355" i="1"/>
  <c r="E1356" i="1"/>
  <c r="F1356" i="1"/>
  <c r="G1356" i="1"/>
  <c r="E1357" i="1"/>
  <c r="F1357" i="1"/>
  <c r="G1357" i="1"/>
  <c r="E1358" i="1"/>
  <c r="F1358" i="1"/>
  <c r="G1358" i="1"/>
  <c r="E1359" i="1"/>
  <c r="F1359" i="1"/>
  <c r="G1359" i="1"/>
  <c r="E1360" i="1"/>
  <c r="F1360" i="1"/>
  <c r="G1360" i="1"/>
  <c r="E1361" i="1"/>
  <c r="F1361" i="1"/>
  <c r="G1361" i="1"/>
  <c r="E1362" i="1"/>
  <c r="F1362" i="1"/>
  <c r="G1362" i="1"/>
  <c r="E1363" i="1"/>
  <c r="F1363" i="1"/>
  <c r="G1363" i="1"/>
  <c r="E1364" i="1"/>
  <c r="F1364" i="1"/>
  <c r="G1364" i="1"/>
  <c r="E1365" i="1"/>
  <c r="F1365" i="1"/>
  <c r="G1365" i="1"/>
  <c r="E1366" i="1"/>
  <c r="F1366" i="1"/>
  <c r="G1366" i="1"/>
  <c r="E1367" i="1"/>
  <c r="F1367" i="1"/>
  <c r="G1367" i="1"/>
  <c r="E1368" i="1"/>
  <c r="F1368" i="1"/>
  <c r="G1368" i="1"/>
  <c r="E1369" i="1"/>
  <c r="F1369" i="1"/>
  <c r="G1369" i="1"/>
  <c r="E1370" i="1"/>
  <c r="F1370" i="1"/>
  <c r="G1370" i="1"/>
  <c r="E1371" i="1"/>
  <c r="F1371" i="1"/>
  <c r="G1371" i="1"/>
  <c r="E1372" i="1"/>
  <c r="F1372" i="1"/>
  <c r="G1372" i="1"/>
  <c r="E1373" i="1"/>
  <c r="F1373" i="1"/>
  <c r="G1373" i="1"/>
  <c r="E1374" i="1"/>
  <c r="F1374" i="1"/>
  <c r="G1374" i="1"/>
  <c r="E1375" i="1"/>
  <c r="F1375" i="1"/>
  <c r="G1375" i="1"/>
  <c r="E1376" i="1"/>
  <c r="F1376" i="1"/>
  <c r="G1376" i="1"/>
  <c r="E1377" i="1"/>
  <c r="F1377" i="1"/>
  <c r="G1377" i="1"/>
  <c r="E1378" i="1"/>
  <c r="F1378" i="1"/>
  <c r="G1378" i="1"/>
  <c r="E1379" i="1"/>
  <c r="F1379" i="1"/>
  <c r="G1379" i="1"/>
  <c r="E1380" i="1"/>
  <c r="F1380" i="1"/>
  <c r="G1380" i="1"/>
  <c r="E1381" i="1"/>
  <c r="F1381" i="1"/>
  <c r="G1381" i="1"/>
  <c r="E1382" i="1"/>
  <c r="F1382" i="1"/>
  <c r="G1382" i="1"/>
  <c r="E1383" i="1"/>
  <c r="F1383" i="1"/>
  <c r="G1383" i="1"/>
  <c r="E1384" i="1"/>
  <c r="F1384" i="1"/>
  <c r="G1384" i="1"/>
  <c r="E1385" i="1"/>
  <c r="F1385" i="1"/>
  <c r="G1385" i="1"/>
  <c r="E1386" i="1"/>
  <c r="F1386" i="1"/>
  <c r="G1386" i="1"/>
  <c r="E1387" i="1"/>
  <c r="F1387" i="1"/>
  <c r="G1387" i="1"/>
  <c r="E1388" i="1"/>
  <c r="F1388" i="1"/>
  <c r="G1388" i="1"/>
  <c r="E1389" i="1"/>
  <c r="F1389" i="1"/>
  <c r="G1389" i="1"/>
  <c r="E1390" i="1"/>
  <c r="F1390" i="1"/>
  <c r="G1390" i="1"/>
  <c r="E1391" i="1"/>
  <c r="F1391" i="1"/>
  <c r="G1391" i="1"/>
  <c r="E1392" i="1"/>
  <c r="F1392" i="1"/>
  <c r="G1392" i="1"/>
  <c r="E1393" i="1"/>
  <c r="F1393" i="1"/>
  <c r="G1393" i="1"/>
  <c r="E1394" i="1"/>
  <c r="F1394" i="1"/>
  <c r="G1394" i="1"/>
  <c r="E1395" i="1"/>
  <c r="F1395" i="1"/>
  <c r="G1395" i="1"/>
  <c r="E1396" i="1"/>
  <c r="F1396" i="1"/>
  <c r="G1396" i="1"/>
  <c r="E1397" i="1"/>
  <c r="F1397" i="1"/>
  <c r="G1397" i="1"/>
  <c r="E1398" i="1"/>
  <c r="F1398" i="1"/>
  <c r="G1398" i="1"/>
  <c r="E1399" i="1"/>
  <c r="F1399" i="1"/>
  <c r="G1399" i="1"/>
  <c r="E1400" i="1"/>
  <c r="F1400" i="1"/>
  <c r="G1400" i="1"/>
  <c r="E1401" i="1"/>
  <c r="F1401" i="1"/>
  <c r="G1401" i="1"/>
  <c r="E1402" i="1"/>
  <c r="F1402" i="1"/>
  <c r="G1402" i="1"/>
  <c r="E1403" i="1"/>
  <c r="F1403" i="1"/>
  <c r="G1403" i="1"/>
  <c r="E1404" i="1"/>
  <c r="F1404" i="1"/>
  <c r="G1404" i="1"/>
  <c r="E1405" i="1"/>
  <c r="F1405" i="1"/>
  <c r="G1405" i="1"/>
  <c r="E1406" i="1"/>
  <c r="F1406" i="1"/>
  <c r="G1406" i="1"/>
  <c r="E1407" i="1"/>
  <c r="F1407" i="1"/>
  <c r="G1407" i="1"/>
  <c r="E1408" i="1"/>
  <c r="F1408" i="1"/>
  <c r="G1408" i="1"/>
  <c r="E1409" i="1"/>
  <c r="F1409" i="1"/>
  <c r="G1409" i="1"/>
  <c r="E1410" i="1"/>
  <c r="F1410" i="1"/>
  <c r="G1410" i="1"/>
  <c r="E1411" i="1"/>
  <c r="F1411" i="1"/>
  <c r="G1411" i="1"/>
  <c r="E1412" i="1"/>
  <c r="F1412" i="1"/>
  <c r="G1412" i="1"/>
  <c r="E1413" i="1"/>
  <c r="F1413" i="1"/>
  <c r="G1413" i="1"/>
  <c r="E1414" i="1"/>
  <c r="F1414" i="1"/>
  <c r="G1414" i="1"/>
  <c r="E1415" i="1"/>
  <c r="F1415" i="1"/>
  <c r="G1415" i="1"/>
  <c r="E1416" i="1"/>
  <c r="F1416" i="1"/>
  <c r="G1416" i="1"/>
  <c r="E1417" i="1"/>
  <c r="F1417" i="1"/>
  <c r="G1417" i="1"/>
  <c r="E1418" i="1"/>
  <c r="F1418" i="1"/>
  <c r="G1418" i="1"/>
  <c r="E1419" i="1"/>
  <c r="F1419" i="1"/>
  <c r="G1419" i="1"/>
  <c r="E1420" i="1"/>
  <c r="F1420" i="1"/>
  <c r="G1420" i="1"/>
  <c r="E1421" i="1"/>
  <c r="F1421" i="1"/>
  <c r="G1421" i="1"/>
  <c r="E1422" i="1"/>
  <c r="F1422" i="1"/>
  <c r="G1422" i="1"/>
  <c r="E1423" i="1"/>
  <c r="F1423" i="1"/>
  <c r="G1423" i="1"/>
  <c r="E1424" i="1"/>
  <c r="F1424" i="1"/>
  <c r="G1424" i="1"/>
  <c r="E1425" i="1"/>
  <c r="F1425" i="1"/>
  <c r="G1425" i="1"/>
  <c r="E1426" i="1"/>
  <c r="F1426" i="1"/>
  <c r="G1426" i="1"/>
  <c r="E1427" i="1"/>
  <c r="F1427" i="1"/>
  <c r="G1427" i="1"/>
  <c r="E1428" i="1"/>
  <c r="F1428" i="1"/>
  <c r="G1428" i="1"/>
  <c r="E1429" i="1"/>
  <c r="F1429" i="1"/>
  <c r="G1429" i="1"/>
  <c r="E1430" i="1"/>
  <c r="F1430" i="1"/>
  <c r="G1430" i="1"/>
  <c r="E1431" i="1"/>
  <c r="F1431" i="1"/>
  <c r="G1431" i="1"/>
  <c r="E1432" i="1"/>
  <c r="F1432" i="1"/>
  <c r="G1432" i="1"/>
  <c r="E1433" i="1"/>
  <c r="F1433" i="1"/>
  <c r="G1433" i="1"/>
  <c r="E1434" i="1"/>
  <c r="F1434" i="1"/>
  <c r="G1434" i="1"/>
  <c r="E1435" i="1"/>
  <c r="F1435" i="1"/>
  <c r="G1435" i="1"/>
  <c r="E1436" i="1"/>
  <c r="F1436" i="1"/>
  <c r="G1436" i="1"/>
  <c r="E1437" i="1"/>
  <c r="F1437" i="1"/>
  <c r="G1437" i="1"/>
  <c r="E1438" i="1"/>
  <c r="F1438" i="1"/>
  <c r="G1438" i="1"/>
  <c r="E1439" i="1"/>
  <c r="F1439" i="1"/>
  <c r="G1439" i="1"/>
  <c r="E1440" i="1"/>
  <c r="F1440" i="1"/>
  <c r="G1440" i="1"/>
  <c r="E1441" i="1"/>
  <c r="F1441" i="1"/>
  <c r="G1441" i="1"/>
  <c r="E1442" i="1"/>
  <c r="F1442" i="1"/>
  <c r="G1442" i="1"/>
  <c r="E1443" i="1"/>
  <c r="F1443" i="1"/>
  <c r="G1443" i="1"/>
  <c r="E1444" i="1"/>
  <c r="F1444" i="1"/>
  <c r="G1444" i="1"/>
  <c r="E1445" i="1"/>
  <c r="F1445" i="1"/>
  <c r="G1445" i="1"/>
  <c r="E1446" i="1"/>
  <c r="F1446" i="1"/>
  <c r="G1446" i="1"/>
  <c r="E1447" i="1"/>
  <c r="F1447" i="1"/>
  <c r="G1447" i="1"/>
  <c r="E1448" i="1"/>
  <c r="F1448" i="1"/>
  <c r="G1448" i="1"/>
  <c r="E1449" i="1"/>
  <c r="F1449" i="1"/>
  <c r="G1449" i="1"/>
  <c r="E1450" i="1"/>
  <c r="F1450" i="1"/>
  <c r="G1450" i="1"/>
  <c r="E1451" i="1"/>
  <c r="F1451" i="1"/>
  <c r="G1451" i="1"/>
  <c r="E1452" i="1"/>
  <c r="F1452" i="1"/>
  <c r="G1452" i="1"/>
  <c r="E1453" i="1"/>
  <c r="F1453" i="1"/>
  <c r="G1453" i="1"/>
  <c r="E1454" i="1"/>
  <c r="F1454" i="1"/>
  <c r="G1454" i="1"/>
  <c r="E1455" i="1"/>
  <c r="F1455" i="1"/>
  <c r="G1455" i="1"/>
  <c r="E1456" i="1"/>
  <c r="F1456" i="1"/>
  <c r="G1456" i="1"/>
  <c r="E1457" i="1"/>
  <c r="F1457" i="1"/>
  <c r="G1457" i="1"/>
  <c r="E1458" i="1"/>
  <c r="F1458" i="1"/>
  <c r="G1458" i="1"/>
  <c r="E1459" i="1"/>
  <c r="F1459" i="1"/>
  <c r="G1459" i="1"/>
  <c r="E1460" i="1"/>
  <c r="F1460" i="1"/>
  <c r="G1460" i="1"/>
  <c r="E1461" i="1"/>
  <c r="F1461" i="1"/>
  <c r="G1461" i="1"/>
  <c r="E1462" i="1"/>
  <c r="F1462" i="1"/>
  <c r="G1462" i="1"/>
  <c r="E1463" i="1"/>
  <c r="F1463" i="1"/>
  <c r="G1463" i="1"/>
  <c r="E1464" i="1"/>
  <c r="F1464" i="1"/>
  <c r="G1464" i="1"/>
  <c r="E1465" i="1"/>
  <c r="F1465" i="1"/>
  <c r="G1465" i="1"/>
  <c r="E1466" i="1"/>
  <c r="F1466" i="1"/>
  <c r="G1466" i="1"/>
  <c r="E1467" i="1"/>
  <c r="F1467" i="1"/>
  <c r="G1467" i="1"/>
  <c r="E1468" i="1"/>
  <c r="F1468" i="1"/>
  <c r="G1468" i="1"/>
  <c r="E1469" i="1"/>
  <c r="F1469" i="1"/>
  <c r="G1469" i="1"/>
  <c r="E1470" i="1"/>
  <c r="F1470" i="1"/>
  <c r="G1470" i="1"/>
  <c r="E1471" i="1"/>
  <c r="F1471" i="1"/>
  <c r="G1471" i="1"/>
  <c r="E1472" i="1"/>
  <c r="F1472" i="1"/>
  <c r="G1472" i="1"/>
  <c r="E1473" i="1"/>
  <c r="F1473" i="1"/>
  <c r="G1473" i="1"/>
  <c r="E1474" i="1"/>
  <c r="F1474" i="1"/>
  <c r="G1474" i="1"/>
  <c r="E1475" i="1"/>
  <c r="F1475" i="1"/>
  <c r="G1475" i="1"/>
  <c r="E1476" i="1"/>
  <c r="F1476" i="1"/>
  <c r="G1476" i="1"/>
  <c r="E1477" i="1"/>
  <c r="F1477" i="1"/>
  <c r="G1477" i="1"/>
  <c r="E1478" i="1"/>
  <c r="F1478" i="1"/>
  <c r="G1478" i="1"/>
  <c r="E1479" i="1"/>
  <c r="F1479" i="1"/>
  <c r="G1479" i="1"/>
  <c r="E1480" i="1"/>
  <c r="F1480" i="1"/>
  <c r="G1480" i="1"/>
  <c r="E1481" i="1"/>
  <c r="F1481" i="1"/>
  <c r="G1481" i="1"/>
  <c r="E1482" i="1"/>
  <c r="F1482" i="1"/>
  <c r="G1482" i="1"/>
  <c r="E1483" i="1"/>
  <c r="F1483" i="1"/>
  <c r="G1483" i="1"/>
  <c r="E1484" i="1"/>
  <c r="F1484" i="1"/>
  <c r="G1484" i="1"/>
  <c r="E1485" i="1"/>
  <c r="F1485" i="1"/>
  <c r="G1485" i="1"/>
  <c r="E1486" i="1"/>
  <c r="F1486" i="1"/>
  <c r="G1486" i="1"/>
  <c r="E1487" i="1"/>
  <c r="F1487" i="1"/>
  <c r="G1487" i="1"/>
  <c r="E1488" i="1"/>
  <c r="F1488" i="1"/>
  <c r="G1488" i="1"/>
  <c r="E1489" i="1"/>
  <c r="F1489" i="1"/>
  <c r="G1489" i="1"/>
  <c r="E1490" i="1"/>
  <c r="F1490" i="1"/>
  <c r="G1490" i="1"/>
  <c r="E1491" i="1"/>
  <c r="F1491" i="1"/>
  <c r="G1491" i="1"/>
  <c r="E1492" i="1"/>
  <c r="F1492" i="1"/>
  <c r="G1492" i="1"/>
  <c r="E1493" i="1"/>
  <c r="F1493" i="1"/>
  <c r="G1493" i="1"/>
  <c r="E1494" i="1"/>
  <c r="F1494" i="1"/>
  <c r="G1494" i="1"/>
  <c r="E1495" i="1"/>
  <c r="F1495" i="1"/>
  <c r="G1495" i="1"/>
  <c r="E1496" i="1"/>
  <c r="F1496" i="1"/>
  <c r="G1496" i="1"/>
  <c r="E1497" i="1"/>
  <c r="F1497" i="1"/>
  <c r="G1497" i="1"/>
  <c r="E1498" i="1"/>
  <c r="F1498" i="1"/>
  <c r="G1498" i="1"/>
  <c r="E1499" i="1"/>
  <c r="F1499" i="1"/>
  <c r="G1499" i="1"/>
  <c r="E1500" i="1"/>
  <c r="F1500" i="1"/>
  <c r="G1500" i="1"/>
  <c r="E1501" i="1"/>
  <c r="F1501" i="1"/>
  <c r="G1501" i="1"/>
  <c r="E1502" i="1"/>
  <c r="F1502" i="1"/>
  <c r="G1502" i="1"/>
  <c r="E1503" i="1"/>
  <c r="F1503" i="1"/>
  <c r="G1503" i="1"/>
  <c r="E1504" i="1"/>
  <c r="F1504" i="1"/>
  <c r="G1504" i="1"/>
  <c r="E1505" i="1"/>
  <c r="F1505" i="1"/>
  <c r="G1505" i="1"/>
  <c r="E1506" i="1"/>
  <c r="F1506" i="1"/>
  <c r="G1506" i="1"/>
  <c r="E1507" i="1"/>
  <c r="F1507" i="1"/>
  <c r="G1507" i="1"/>
  <c r="E1508" i="1"/>
  <c r="F1508" i="1"/>
  <c r="G1508" i="1"/>
  <c r="E1509" i="1"/>
  <c r="F1509" i="1"/>
  <c r="G1509" i="1"/>
  <c r="E1510" i="1"/>
  <c r="F1510" i="1"/>
  <c r="G1510" i="1"/>
  <c r="E1511" i="1"/>
  <c r="F1511" i="1"/>
  <c r="G1511" i="1"/>
  <c r="E1512" i="1"/>
  <c r="F1512" i="1"/>
  <c r="G1512" i="1"/>
  <c r="E1513" i="1"/>
  <c r="F1513" i="1"/>
  <c r="G1513" i="1"/>
  <c r="E1514" i="1"/>
  <c r="F1514" i="1"/>
  <c r="G1514" i="1"/>
  <c r="E1515" i="1"/>
  <c r="F1515" i="1"/>
  <c r="G1515" i="1"/>
  <c r="E1516" i="1"/>
  <c r="F1516" i="1"/>
  <c r="G1516" i="1"/>
  <c r="E1517" i="1"/>
  <c r="F1517" i="1"/>
  <c r="G1517" i="1"/>
  <c r="E1518" i="1"/>
  <c r="F1518" i="1"/>
  <c r="G1518" i="1"/>
  <c r="E1519" i="1"/>
  <c r="F1519" i="1"/>
  <c r="G1519" i="1"/>
  <c r="E1520" i="1"/>
  <c r="F1520" i="1"/>
  <c r="G1520" i="1"/>
  <c r="E1521" i="1"/>
  <c r="F1521" i="1"/>
  <c r="G1521" i="1"/>
  <c r="E1522" i="1"/>
  <c r="F1522" i="1"/>
  <c r="G1522" i="1"/>
  <c r="E1523" i="1"/>
  <c r="F1523" i="1"/>
  <c r="G1523" i="1"/>
  <c r="E1524" i="1"/>
  <c r="F1524" i="1"/>
  <c r="G1524" i="1"/>
  <c r="E1525" i="1"/>
  <c r="F1525" i="1"/>
  <c r="G1525" i="1"/>
  <c r="E1526" i="1"/>
  <c r="F1526" i="1"/>
  <c r="G1526" i="1"/>
  <c r="E1527" i="1"/>
  <c r="F1527" i="1"/>
  <c r="G1527" i="1"/>
  <c r="E1528" i="1"/>
  <c r="F1528" i="1"/>
  <c r="G1528" i="1"/>
  <c r="E1529" i="1"/>
  <c r="F1529" i="1"/>
  <c r="G1529" i="1"/>
  <c r="E1530" i="1"/>
  <c r="F1530" i="1"/>
  <c r="G1530" i="1"/>
  <c r="E1531" i="1"/>
  <c r="F1531" i="1"/>
  <c r="G1531" i="1"/>
  <c r="E1532" i="1"/>
  <c r="F1532" i="1"/>
  <c r="G1532" i="1"/>
  <c r="E1533" i="1"/>
  <c r="F1533" i="1"/>
  <c r="G1533" i="1"/>
  <c r="E1534" i="1"/>
  <c r="F1534" i="1"/>
  <c r="G1534" i="1"/>
  <c r="E1535" i="1"/>
  <c r="F1535" i="1"/>
  <c r="G1535" i="1"/>
  <c r="E1536" i="1"/>
  <c r="F1536" i="1"/>
  <c r="G1536" i="1"/>
  <c r="E1537" i="1"/>
  <c r="F1537" i="1"/>
  <c r="G1537" i="1"/>
  <c r="E1538" i="1"/>
  <c r="F1538" i="1"/>
  <c r="G1538" i="1"/>
  <c r="E1539" i="1"/>
  <c r="F1539" i="1"/>
  <c r="G1539" i="1"/>
  <c r="E1540" i="1"/>
  <c r="F1540" i="1"/>
  <c r="G1540" i="1"/>
  <c r="E1541" i="1"/>
  <c r="F1541" i="1"/>
  <c r="G1541" i="1"/>
  <c r="E1542" i="1"/>
  <c r="F1542" i="1"/>
  <c r="G1542" i="1"/>
  <c r="E1543" i="1"/>
  <c r="F1543" i="1"/>
  <c r="G1543" i="1"/>
  <c r="E1544" i="1"/>
  <c r="F1544" i="1"/>
  <c r="G1544" i="1"/>
  <c r="E1545" i="1"/>
  <c r="F1545" i="1"/>
  <c r="G1545" i="1"/>
  <c r="E1546" i="1"/>
  <c r="F1546" i="1"/>
  <c r="G1546" i="1"/>
  <c r="E1547" i="1"/>
  <c r="F1547" i="1"/>
  <c r="G1547" i="1"/>
  <c r="E1548" i="1"/>
  <c r="F1548" i="1"/>
  <c r="G1548" i="1"/>
  <c r="E1549" i="1"/>
  <c r="F1549" i="1"/>
  <c r="G1549" i="1"/>
  <c r="E1550" i="1"/>
  <c r="F1550" i="1"/>
  <c r="G1550" i="1"/>
  <c r="E1551" i="1"/>
  <c r="F1551" i="1"/>
  <c r="G1551" i="1"/>
  <c r="E1552" i="1"/>
  <c r="F1552" i="1"/>
  <c r="G1552" i="1"/>
  <c r="E1553" i="1"/>
  <c r="F1553" i="1"/>
  <c r="G1553" i="1"/>
  <c r="E1554" i="1"/>
  <c r="F1554" i="1"/>
  <c r="G1554" i="1"/>
  <c r="E1555" i="1"/>
  <c r="F1555" i="1"/>
  <c r="G1555" i="1"/>
  <c r="E1556" i="1"/>
  <c r="F1556" i="1"/>
  <c r="G1556" i="1"/>
  <c r="E1557" i="1"/>
  <c r="F1557" i="1"/>
  <c r="G1557" i="1"/>
  <c r="E1558" i="1"/>
  <c r="F1558" i="1"/>
  <c r="G1558" i="1"/>
  <c r="E1559" i="1"/>
  <c r="F1559" i="1"/>
  <c r="G1559" i="1"/>
  <c r="E1560" i="1"/>
  <c r="F1560" i="1"/>
  <c r="G1560" i="1"/>
  <c r="E1561" i="1"/>
  <c r="F1561" i="1"/>
  <c r="G1561" i="1"/>
  <c r="E1562" i="1"/>
  <c r="F1562" i="1"/>
  <c r="G1562" i="1"/>
  <c r="E1563" i="1"/>
  <c r="F1563" i="1"/>
  <c r="G1563" i="1"/>
  <c r="E1564" i="1"/>
  <c r="F1564" i="1"/>
  <c r="G1564" i="1"/>
  <c r="E1565" i="1"/>
  <c r="F1565" i="1"/>
  <c r="G1565" i="1"/>
  <c r="E1566" i="1"/>
  <c r="F1566" i="1"/>
  <c r="G1566" i="1"/>
  <c r="E1567" i="1"/>
  <c r="F1567" i="1"/>
  <c r="G1567" i="1"/>
  <c r="E1568" i="1"/>
  <c r="F1568" i="1"/>
  <c r="G1568" i="1"/>
  <c r="E1569" i="1"/>
  <c r="F1569" i="1"/>
  <c r="G1569" i="1"/>
  <c r="E1570" i="1"/>
  <c r="F1570" i="1"/>
  <c r="G1570" i="1"/>
  <c r="E1571" i="1"/>
  <c r="F1571" i="1"/>
  <c r="G1571" i="1"/>
  <c r="E1572" i="1"/>
  <c r="F1572" i="1"/>
  <c r="G1572" i="1"/>
  <c r="E1573" i="1"/>
  <c r="F1573" i="1"/>
  <c r="G1573" i="1"/>
  <c r="E1574" i="1"/>
  <c r="F1574" i="1"/>
  <c r="G1574" i="1"/>
  <c r="E1575" i="1"/>
  <c r="F1575" i="1"/>
  <c r="G1575" i="1"/>
  <c r="E1576" i="1"/>
  <c r="F1576" i="1"/>
  <c r="G1576" i="1"/>
  <c r="E1577" i="1"/>
  <c r="F1577" i="1"/>
  <c r="G1577" i="1"/>
  <c r="E1578" i="1"/>
  <c r="F1578" i="1"/>
  <c r="G1578" i="1"/>
  <c r="E1579" i="1"/>
  <c r="F1579" i="1"/>
  <c r="G1579" i="1"/>
  <c r="E1580" i="1"/>
  <c r="F1580" i="1"/>
  <c r="G1580" i="1"/>
  <c r="E1581" i="1"/>
  <c r="F1581" i="1"/>
  <c r="G1581" i="1"/>
  <c r="E1582" i="1"/>
  <c r="F1582" i="1"/>
  <c r="G1582" i="1"/>
  <c r="E1583" i="1"/>
  <c r="F1583" i="1"/>
  <c r="G1583" i="1"/>
  <c r="E1584" i="1"/>
  <c r="F1584" i="1"/>
  <c r="G1584" i="1"/>
  <c r="E1585" i="1"/>
  <c r="F1585" i="1"/>
  <c r="G1585" i="1"/>
  <c r="E1586" i="1"/>
  <c r="F1586" i="1"/>
  <c r="G1586" i="1"/>
  <c r="E1587" i="1"/>
  <c r="F1587" i="1"/>
  <c r="G1587" i="1"/>
  <c r="E1588" i="1"/>
  <c r="F1588" i="1"/>
  <c r="G1588" i="1"/>
  <c r="E1589" i="1"/>
  <c r="F1589" i="1"/>
  <c r="G1589" i="1"/>
  <c r="E1590" i="1"/>
  <c r="F1590" i="1"/>
  <c r="G1590" i="1"/>
  <c r="E1591" i="1"/>
  <c r="F1591" i="1"/>
  <c r="G1591" i="1"/>
  <c r="E1592" i="1"/>
  <c r="F1592" i="1"/>
  <c r="G1592" i="1"/>
  <c r="E1593" i="1"/>
  <c r="F1593" i="1"/>
  <c r="G1593" i="1"/>
  <c r="E1594" i="1"/>
  <c r="F1594" i="1"/>
  <c r="G1594" i="1"/>
  <c r="E1595" i="1"/>
  <c r="F1595" i="1"/>
  <c r="G1595" i="1"/>
  <c r="E1596" i="1"/>
  <c r="F1596" i="1"/>
  <c r="G1596" i="1"/>
  <c r="E1597" i="1"/>
  <c r="F1597" i="1"/>
  <c r="G1597" i="1"/>
  <c r="E1598" i="1"/>
  <c r="F1598" i="1"/>
  <c r="G1598" i="1"/>
  <c r="E1599" i="1"/>
  <c r="F1599" i="1"/>
  <c r="G1599" i="1"/>
  <c r="E1600" i="1"/>
  <c r="F1600" i="1"/>
  <c r="G1600" i="1"/>
  <c r="E1601" i="1"/>
  <c r="F1601" i="1"/>
  <c r="G1601" i="1"/>
  <c r="E1602" i="1"/>
  <c r="F1602" i="1"/>
  <c r="G1602" i="1"/>
  <c r="E1603" i="1"/>
  <c r="F1603" i="1"/>
  <c r="G1603" i="1"/>
  <c r="E1604" i="1"/>
  <c r="F1604" i="1"/>
  <c r="G1604" i="1"/>
  <c r="E1605" i="1"/>
  <c r="F1605" i="1"/>
  <c r="G1605" i="1"/>
  <c r="E1606" i="1"/>
  <c r="F1606" i="1"/>
  <c r="G1606" i="1"/>
  <c r="E1607" i="1"/>
  <c r="F1607" i="1"/>
  <c r="G1607" i="1"/>
  <c r="E1608" i="1"/>
  <c r="F1608" i="1"/>
  <c r="G1608" i="1"/>
  <c r="E1609" i="1"/>
  <c r="F1609" i="1"/>
  <c r="G1609" i="1"/>
  <c r="E1610" i="1"/>
  <c r="F1610" i="1"/>
  <c r="G1610" i="1"/>
  <c r="E1611" i="1"/>
  <c r="F1611" i="1"/>
  <c r="G1611" i="1"/>
  <c r="E1612" i="1"/>
  <c r="F1612" i="1"/>
  <c r="G1612" i="1"/>
  <c r="E1613" i="1"/>
  <c r="F1613" i="1"/>
  <c r="G1613" i="1"/>
  <c r="E1614" i="1"/>
  <c r="F1614" i="1"/>
  <c r="G1614" i="1"/>
  <c r="E1615" i="1"/>
  <c r="F1615" i="1"/>
  <c r="G1615" i="1"/>
  <c r="E1616" i="1"/>
  <c r="F1616" i="1"/>
  <c r="G1616" i="1"/>
  <c r="E1617" i="1"/>
  <c r="F1617" i="1"/>
  <c r="G1617" i="1"/>
  <c r="E1618" i="1"/>
  <c r="F1618" i="1"/>
  <c r="G1618" i="1"/>
  <c r="E1619" i="1"/>
  <c r="F1619" i="1"/>
  <c r="G1619" i="1"/>
  <c r="E1620" i="1"/>
  <c r="F1620" i="1"/>
  <c r="G1620" i="1"/>
  <c r="E1621" i="1"/>
  <c r="F1621" i="1"/>
  <c r="G1621" i="1"/>
  <c r="E1622" i="1"/>
  <c r="F1622" i="1"/>
  <c r="G1622" i="1"/>
  <c r="E1623" i="1"/>
  <c r="F1623" i="1"/>
  <c r="G1623" i="1"/>
  <c r="E1624" i="1"/>
  <c r="F1624" i="1"/>
  <c r="G1624" i="1"/>
  <c r="E1625" i="1"/>
  <c r="F1625" i="1"/>
  <c r="G1625" i="1"/>
  <c r="E1626" i="1"/>
  <c r="F1626" i="1"/>
  <c r="G1626" i="1"/>
  <c r="E1627" i="1"/>
  <c r="F1627" i="1"/>
  <c r="G1627" i="1"/>
  <c r="E1628" i="1"/>
  <c r="F1628" i="1"/>
  <c r="G1628" i="1"/>
  <c r="E1629" i="1"/>
  <c r="F1629" i="1"/>
  <c r="G1629" i="1"/>
  <c r="E1630" i="1"/>
  <c r="F1630" i="1"/>
  <c r="G1630" i="1"/>
  <c r="E1631" i="1"/>
  <c r="F1631" i="1"/>
  <c r="G1631" i="1"/>
  <c r="E1632" i="1"/>
  <c r="F1632" i="1"/>
  <c r="G1632" i="1"/>
  <c r="E1633" i="1"/>
  <c r="F1633" i="1"/>
  <c r="G1633" i="1"/>
  <c r="E1634" i="1"/>
  <c r="F1634" i="1"/>
  <c r="G1634" i="1"/>
  <c r="E1635" i="1"/>
  <c r="F1635" i="1"/>
  <c r="G1635" i="1"/>
  <c r="E1636" i="1"/>
  <c r="F1636" i="1"/>
  <c r="G1636" i="1"/>
  <c r="E1637" i="1"/>
  <c r="F1637" i="1"/>
  <c r="G1637" i="1"/>
  <c r="E1638" i="1"/>
  <c r="F1638" i="1"/>
  <c r="G1638" i="1"/>
  <c r="E1639" i="1"/>
  <c r="F1639" i="1"/>
  <c r="G1639" i="1"/>
  <c r="E1640" i="1"/>
  <c r="F1640" i="1"/>
  <c r="G1640" i="1"/>
  <c r="E1641" i="1"/>
  <c r="F1641" i="1"/>
  <c r="G1641" i="1"/>
  <c r="E1642" i="1"/>
  <c r="F1642" i="1"/>
  <c r="G1642" i="1"/>
  <c r="E1643" i="1"/>
  <c r="F1643" i="1"/>
  <c r="G1643" i="1"/>
  <c r="E1644" i="1"/>
  <c r="F1644" i="1"/>
  <c r="G1644" i="1"/>
  <c r="E1645" i="1"/>
  <c r="F1645" i="1"/>
  <c r="G1645" i="1"/>
  <c r="E1646" i="1"/>
  <c r="F1646" i="1"/>
  <c r="G1646" i="1"/>
  <c r="E1647" i="1"/>
  <c r="F1647" i="1"/>
  <c r="G1647" i="1"/>
  <c r="E1648" i="1"/>
  <c r="F1648" i="1"/>
  <c r="G1648" i="1"/>
  <c r="E1649" i="1"/>
  <c r="F1649" i="1"/>
  <c r="G1649" i="1"/>
  <c r="E1650" i="1"/>
  <c r="F1650" i="1"/>
  <c r="G1650" i="1"/>
  <c r="E1651" i="1"/>
  <c r="F1651" i="1"/>
  <c r="G1651" i="1"/>
  <c r="E1652" i="1"/>
  <c r="F1652" i="1"/>
  <c r="G1652" i="1"/>
  <c r="E1653" i="1"/>
  <c r="F1653" i="1"/>
  <c r="G1653" i="1"/>
  <c r="E1654" i="1"/>
  <c r="F1654" i="1"/>
  <c r="G1654" i="1"/>
  <c r="E1655" i="1"/>
  <c r="F1655" i="1"/>
  <c r="G1655" i="1"/>
  <c r="E1656" i="1"/>
  <c r="F1656" i="1"/>
  <c r="G1656" i="1"/>
  <c r="E1657" i="1"/>
  <c r="F1657" i="1"/>
  <c r="G1657" i="1"/>
  <c r="E1658" i="1"/>
  <c r="F1658" i="1"/>
  <c r="G1658" i="1"/>
  <c r="E1659" i="1"/>
  <c r="F1659" i="1"/>
  <c r="G1659" i="1"/>
  <c r="E1660" i="1"/>
  <c r="F1660" i="1"/>
  <c r="G1660" i="1"/>
  <c r="E1661" i="1"/>
  <c r="F1661" i="1"/>
  <c r="G1661" i="1"/>
  <c r="E1662" i="1"/>
  <c r="F1662" i="1"/>
  <c r="G1662" i="1"/>
  <c r="E1663" i="1"/>
  <c r="F1663" i="1"/>
  <c r="G1663" i="1"/>
  <c r="E1664" i="1"/>
  <c r="F1664" i="1"/>
  <c r="G1664" i="1"/>
  <c r="E1665" i="1"/>
  <c r="F1665" i="1"/>
  <c r="G1665" i="1"/>
  <c r="E1666" i="1"/>
  <c r="F1666" i="1"/>
  <c r="G1666" i="1"/>
  <c r="E1667" i="1"/>
  <c r="F1667" i="1"/>
  <c r="G1667" i="1"/>
  <c r="E1668" i="1"/>
  <c r="F1668" i="1"/>
  <c r="G1668" i="1"/>
  <c r="E1669" i="1"/>
  <c r="F1669" i="1"/>
  <c r="G1669" i="1"/>
  <c r="E1670" i="1"/>
  <c r="F1670" i="1"/>
  <c r="G1670" i="1"/>
  <c r="E1671" i="1"/>
  <c r="F1671" i="1"/>
  <c r="G1671" i="1"/>
  <c r="E1672" i="1"/>
  <c r="F1672" i="1"/>
  <c r="G1672" i="1"/>
  <c r="E1673" i="1"/>
  <c r="F1673" i="1"/>
  <c r="G1673" i="1"/>
  <c r="E1674" i="1"/>
  <c r="F1674" i="1"/>
  <c r="G1674" i="1"/>
  <c r="E1675" i="1"/>
  <c r="F1675" i="1"/>
  <c r="G1675" i="1"/>
  <c r="E1676" i="1"/>
  <c r="F1676" i="1"/>
  <c r="G1676" i="1"/>
  <c r="E1677" i="1"/>
  <c r="F1677" i="1"/>
  <c r="G1677" i="1"/>
  <c r="E1678" i="1"/>
  <c r="F1678" i="1"/>
  <c r="G1678" i="1"/>
  <c r="E1679" i="1"/>
  <c r="F1679" i="1"/>
  <c r="G1679" i="1"/>
  <c r="E1680" i="1"/>
  <c r="F1680" i="1"/>
  <c r="G1680" i="1"/>
  <c r="E1681" i="1"/>
  <c r="F1681" i="1"/>
  <c r="G1681" i="1"/>
  <c r="E1682" i="1"/>
  <c r="F1682" i="1"/>
  <c r="G1682" i="1"/>
  <c r="E1683" i="1"/>
  <c r="F1683" i="1"/>
  <c r="G1683" i="1"/>
  <c r="E1684" i="1"/>
  <c r="F1684" i="1"/>
  <c r="G1684" i="1"/>
  <c r="E1685" i="1"/>
  <c r="F1685" i="1"/>
  <c r="G1685" i="1"/>
  <c r="E1686" i="1"/>
  <c r="F1686" i="1"/>
  <c r="G1686" i="1"/>
  <c r="E1687" i="1"/>
  <c r="F1687" i="1"/>
  <c r="G1687" i="1"/>
  <c r="E1688" i="1"/>
  <c r="F1688" i="1"/>
  <c r="G1688" i="1"/>
  <c r="E1689" i="1"/>
  <c r="F1689" i="1"/>
  <c r="G1689" i="1"/>
  <c r="E1690" i="1"/>
  <c r="F1690" i="1"/>
  <c r="G1690" i="1"/>
  <c r="E1691" i="1"/>
  <c r="F1691" i="1"/>
  <c r="G1691" i="1"/>
  <c r="E1692" i="1"/>
  <c r="F1692" i="1"/>
  <c r="G1692" i="1"/>
  <c r="E1693" i="1"/>
  <c r="F1693" i="1"/>
  <c r="G1693" i="1"/>
  <c r="E1694" i="1"/>
  <c r="F1694" i="1"/>
  <c r="G1694" i="1"/>
  <c r="E1695" i="1"/>
  <c r="F1695" i="1"/>
  <c r="G1695" i="1"/>
  <c r="E1696" i="1"/>
  <c r="F1696" i="1"/>
  <c r="G1696" i="1"/>
  <c r="E1697" i="1"/>
  <c r="F1697" i="1"/>
  <c r="G1697" i="1"/>
  <c r="E1698" i="1"/>
  <c r="F1698" i="1"/>
  <c r="G1698" i="1"/>
  <c r="E1699" i="1"/>
  <c r="F1699" i="1"/>
  <c r="G1699" i="1"/>
  <c r="E1700" i="1"/>
  <c r="F1700" i="1"/>
  <c r="G1700" i="1"/>
  <c r="E1701" i="1"/>
  <c r="F1701" i="1"/>
  <c r="G1701" i="1"/>
  <c r="E1702" i="1"/>
  <c r="F1702" i="1"/>
  <c r="G1702" i="1"/>
  <c r="E1703" i="1"/>
  <c r="F1703" i="1"/>
  <c r="G1703" i="1"/>
  <c r="E1704" i="1"/>
  <c r="F1704" i="1"/>
  <c r="G1704" i="1"/>
  <c r="E1705" i="1"/>
  <c r="F1705" i="1"/>
  <c r="G1705" i="1"/>
  <c r="E1706" i="1"/>
  <c r="F1706" i="1"/>
  <c r="G1706" i="1"/>
  <c r="E1707" i="1"/>
  <c r="F1707" i="1"/>
  <c r="G1707" i="1"/>
  <c r="E1708" i="1"/>
  <c r="F1708" i="1"/>
  <c r="G1708" i="1"/>
  <c r="E1709" i="1"/>
  <c r="F1709" i="1"/>
  <c r="G1709" i="1"/>
  <c r="E1710" i="1"/>
  <c r="F1710" i="1"/>
  <c r="G1710" i="1"/>
  <c r="E1711" i="1"/>
  <c r="F1711" i="1"/>
  <c r="G1711" i="1"/>
  <c r="E1712" i="1"/>
  <c r="F1712" i="1"/>
  <c r="G1712" i="1"/>
  <c r="E1713" i="1"/>
  <c r="F1713" i="1"/>
  <c r="G1713" i="1"/>
  <c r="E1714" i="1"/>
  <c r="F1714" i="1"/>
  <c r="G1714" i="1"/>
  <c r="E1715" i="1"/>
  <c r="F1715" i="1"/>
  <c r="G1715" i="1"/>
  <c r="E1716" i="1"/>
  <c r="F1716" i="1"/>
  <c r="G1716" i="1"/>
  <c r="E1717" i="1"/>
  <c r="F1717" i="1"/>
  <c r="G1717" i="1"/>
  <c r="E1718" i="1"/>
  <c r="F1718" i="1"/>
  <c r="G1718" i="1"/>
  <c r="E1719" i="1"/>
  <c r="F1719" i="1"/>
  <c r="G1719" i="1"/>
  <c r="E1720" i="1"/>
  <c r="F1720" i="1"/>
  <c r="G1720" i="1"/>
  <c r="E1721" i="1"/>
  <c r="F1721" i="1"/>
  <c r="G1721" i="1"/>
  <c r="E1722" i="1"/>
  <c r="F1722" i="1"/>
  <c r="G1722" i="1"/>
  <c r="E1723" i="1"/>
  <c r="F1723" i="1"/>
  <c r="G1723" i="1"/>
  <c r="E1724" i="1"/>
  <c r="F1724" i="1"/>
  <c r="G1724" i="1"/>
  <c r="E1725" i="1"/>
  <c r="F1725" i="1"/>
  <c r="G1725" i="1"/>
  <c r="E1726" i="1"/>
  <c r="F1726" i="1"/>
  <c r="G1726" i="1"/>
  <c r="E1727" i="1"/>
  <c r="F1727" i="1"/>
  <c r="G1727" i="1"/>
  <c r="E1728" i="1"/>
  <c r="F1728" i="1"/>
  <c r="G1728" i="1"/>
  <c r="E1729" i="1"/>
  <c r="F1729" i="1"/>
  <c r="G1729" i="1"/>
  <c r="E1730" i="1"/>
  <c r="F1730" i="1"/>
  <c r="G1730" i="1"/>
  <c r="E1731" i="1"/>
  <c r="F1731" i="1"/>
  <c r="G1731" i="1"/>
  <c r="E1732" i="1"/>
  <c r="F1732" i="1"/>
  <c r="G1732" i="1"/>
  <c r="E1733" i="1"/>
  <c r="F1733" i="1"/>
  <c r="G1733" i="1"/>
  <c r="E1734" i="1"/>
  <c r="F1734" i="1"/>
  <c r="G1734" i="1"/>
  <c r="E1735" i="1"/>
  <c r="F1735" i="1"/>
  <c r="G1735" i="1"/>
  <c r="E1736" i="1"/>
  <c r="F1736" i="1"/>
  <c r="G1736" i="1"/>
  <c r="E1737" i="1"/>
  <c r="F1737" i="1"/>
  <c r="G1737" i="1"/>
  <c r="E1738" i="1"/>
  <c r="F1738" i="1"/>
  <c r="G1738" i="1"/>
  <c r="E1739" i="1"/>
  <c r="F1739" i="1"/>
  <c r="G1739" i="1"/>
  <c r="E1740" i="1"/>
  <c r="F1740" i="1"/>
  <c r="G1740" i="1"/>
  <c r="E1741" i="1"/>
  <c r="F1741" i="1"/>
  <c r="G1741" i="1"/>
  <c r="E1742" i="1"/>
  <c r="F1742" i="1"/>
  <c r="G1742" i="1"/>
  <c r="E1743" i="1"/>
  <c r="F1743" i="1"/>
  <c r="G1743" i="1"/>
  <c r="E1744" i="1"/>
  <c r="F1744" i="1"/>
  <c r="G1744" i="1"/>
  <c r="E1745" i="1"/>
  <c r="F1745" i="1"/>
  <c r="G1745" i="1"/>
  <c r="E1746" i="1"/>
  <c r="F1746" i="1"/>
  <c r="G1746" i="1"/>
  <c r="E1747" i="1"/>
  <c r="F1747" i="1"/>
  <c r="G1747" i="1"/>
  <c r="E1748" i="1"/>
  <c r="F1748" i="1"/>
  <c r="G1748" i="1"/>
  <c r="E1749" i="1"/>
  <c r="F1749" i="1"/>
  <c r="G1749" i="1"/>
  <c r="E1750" i="1"/>
  <c r="F1750" i="1"/>
  <c r="G1750" i="1"/>
  <c r="E1751" i="1"/>
  <c r="F1751" i="1"/>
  <c r="G1751" i="1"/>
  <c r="E1752" i="1"/>
  <c r="F1752" i="1"/>
  <c r="G1752" i="1"/>
  <c r="E1753" i="1"/>
  <c r="F1753" i="1"/>
  <c r="G1753" i="1"/>
  <c r="E1754" i="1"/>
  <c r="F1754" i="1"/>
  <c r="G1754" i="1"/>
  <c r="E1755" i="1"/>
  <c r="F1755" i="1"/>
  <c r="G1755" i="1"/>
  <c r="E1756" i="1"/>
  <c r="F1756" i="1"/>
  <c r="G1756" i="1"/>
  <c r="E1757" i="1"/>
  <c r="F1757" i="1"/>
  <c r="G1757" i="1"/>
  <c r="E1758" i="1"/>
  <c r="F1758" i="1"/>
  <c r="G1758" i="1"/>
  <c r="E1759" i="1"/>
  <c r="F1759" i="1"/>
  <c r="G1759" i="1"/>
  <c r="E1760" i="1"/>
  <c r="F1760" i="1"/>
  <c r="G1760" i="1"/>
  <c r="E1761" i="1"/>
  <c r="F1761" i="1"/>
  <c r="G1761" i="1"/>
  <c r="E1762" i="1"/>
  <c r="F1762" i="1"/>
  <c r="G1762" i="1"/>
  <c r="E1763" i="1"/>
  <c r="F1763" i="1"/>
  <c r="G1763" i="1"/>
  <c r="E1764" i="1"/>
  <c r="F1764" i="1"/>
  <c r="G1764" i="1"/>
  <c r="E1765" i="1"/>
  <c r="F1765" i="1"/>
  <c r="G1765" i="1"/>
  <c r="E1766" i="1"/>
  <c r="F1766" i="1"/>
  <c r="G1766" i="1"/>
  <c r="E1767" i="1"/>
  <c r="F1767" i="1"/>
  <c r="G1767" i="1"/>
  <c r="E1768" i="1"/>
  <c r="F1768" i="1"/>
  <c r="G1768" i="1"/>
  <c r="E1769" i="1"/>
  <c r="F1769" i="1"/>
  <c r="G1769" i="1"/>
  <c r="E1770" i="1"/>
  <c r="F1770" i="1"/>
  <c r="G1770" i="1"/>
  <c r="E1771" i="1"/>
  <c r="F1771" i="1"/>
  <c r="G1771" i="1"/>
  <c r="E1772" i="1"/>
  <c r="F1772" i="1"/>
  <c r="G1772" i="1"/>
  <c r="E1773" i="1"/>
  <c r="F1773" i="1"/>
  <c r="G1773" i="1"/>
  <c r="E1774" i="1"/>
  <c r="F1774" i="1"/>
  <c r="G1774" i="1"/>
  <c r="E1775" i="1"/>
  <c r="F1775" i="1"/>
  <c r="G1775" i="1"/>
  <c r="E1776" i="1"/>
  <c r="F1776" i="1"/>
  <c r="G1776" i="1"/>
  <c r="E1777" i="1"/>
  <c r="F1777" i="1"/>
  <c r="G1777" i="1"/>
  <c r="E1778" i="1"/>
  <c r="F1778" i="1"/>
  <c r="G1778" i="1"/>
  <c r="E1779" i="1"/>
  <c r="F1779" i="1"/>
  <c r="G1779" i="1"/>
  <c r="E1780" i="1"/>
  <c r="F1780" i="1"/>
  <c r="G1780" i="1"/>
  <c r="E1781" i="1"/>
  <c r="F1781" i="1"/>
  <c r="G1781" i="1"/>
  <c r="E1782" i="1"/>
  <c r="F1782" i="1"/>
  <c r="G1782" i="1"/>
  <c r="E1783" i="1"/>
  <c r="F1783" i="1"/>
  <c r="G1783" i="1"/>
  <c r="E1784" i="1"/>
  <c r="F1784" i="1"/>
  <c r="G1784" i="1"/>
  <c r="E1785" i="1"/>
  <c r="F1785" i="1"/>
  <c r="G1785" i="1"/>
  <c r="E1786" i="1"/>
  <c r="F1786" i="1"/>
  <c r="G1786" i="1"/>
  <c r="E1787" i="1"/>
  <c r="F1787" i="1"/>
  <c r="G1787" i="1"/>
  <c r="E1788" i="1"/>
  <c r="F1788" i="1"/>
  <c r="G1788" i="1"/>
  <c r="E1789" i="1"/>
  <c r="F1789" i="1"/>
  <c r="G1789" i="1"/>
  <c r="E1790" i="1"/>
  <c r="F1790" i="1"/>
  <c r="G1790" i="1"/>
  <c r="E1791" i="1"/>
  <c r="F1791" i="1"/>
  <c r="G1791" i="1"/>
  <c r="E1792" i="1"/>
  <c r="F1792" i="1"/>
  <c r="G1792" i="1"/>
  <c r="E1793" i="1"/>
  <c r="F1793" i="1"/>
  <c r="G1793" i="1"/>
  <c r="E1794" i="1"/>
  <c r="F1794" i="1"/>
  <c r="G1794" i="1"/>
  <c r="E1795" i="1"/>
  <c r="F1795" i="1"/>
  <c r="G1795" i="1"/>
  <c r="E1796" i="1"/>
  <c r="F1796" i="1"/>
  <c r="G1796" i="1"/>
  <c r="E1797" i="1"/>
  <c r="F1797" i="1"/>
  <c r="G1797" i="1"/>
  <c r="E1798" i="1"/>
  <c r="F1798" i="1"/>
  <c r="G1798" i="1"/>
  <c r="E1799" i="1"/>
  <c r="F1799" i="1"/>
  <c r="G1799" i="1"/>
  <c r="E1800" i="1"/>
  <c r="F1800" i="1"/>
  <c r="G1800" i="1"/>
  <c r="E1801" i="1"/>
  <c r="F1801" i="1"/>
  <c r="G1801" i="1"/>
  <c r="E1802" i="1"/>
  <c r="F1802" i="1"/>
  <c r="G1802" i="1"/>
  <c r="E1803" i="1"/>
  <c r="F1803" i="1"/>
  <c r="G1803" i="1"/>
  <c r="E1804" i="1"/>
  <c r="F1804" i="1"/>
  <c r="G1804" i="1"/>
  <c r="E1805" i="1"/>
  <c r="F1805" i="1"/>
  <c r="G1805" i="1"/>
  <c r="E1806" i="1"/>
  <c r="F1806" i="1"/>
  <c r="G1806" i="1"/>
  <c r="E1807" i="1"/>
  <c r="F1807" i="1"/>
  <c r="G1807" i="1"/>
  <c r="E1808" i="1"/>
  <c r="F1808" i="1"/>
  <c r="G1808" i="1"/>
  <c r="E1809" i="1"/>
  <c r="F1809" i="1"/>
  <c r="G1809" i="1"/>
  <c r="E1810" i="1"/>
  <c r="F1810" i="1"/>
  <c r="G1810" i="1"/>
  <c r="E1811" i="1"/>
  <c r="F1811" i="1"/>
  <c r="G1811" i="1"/>
  <c r="E1812" i="1"/>
  <c r="F1812" i="1"/>
  <c r="G1812" i="1"/>
  <c r="E1813" i="1"/>
  <c r="F1813" i="1"/>
  <c r="G1813" i="1"/>
  <c r="E1814" i="1"/>
  <c r="F1814" i="1"/>
  <c r="G1814" i="1"/>
  <c r="E1815" i="1"/>
  <c r="F1815" i="1"/>
  <c r="G1815" i="1"/>
  <c r="E1816" i="1"/>
  <c r="F1816" i="1"/>
  <c r="G1816" i="1"/>
  <c r="E1817" i="1"/>
  <c r="F1817" i="1"/>
  <c r="G1817" i="1"/>
  <c r="E1818" i="1"/>
  <c r="F1818" i="1"/>
  <c r="G1818" i="1"/>
  <c r="E1819" i="1"/>
  <c r="F1819" i="1"/>
  <c r="G1819" i="1"/>
  <c r="E1820" i="1"/>
  <c r="F1820" i="1"/>
  <c r="G1820" i="1"/>
  <c r="E1821" i="1"/>
  <c r="F1821" i="1"/>
  <c r="G1821" i="1"/>
  <c r="E1822" i="1"/>
  <c r="F1822" i="1"/>
  <c r="G1822" i="1"/>
  <c r="E1823" i="1"/>
  <c r="F1823" i="1"/>
  <c r="G1823" i="1"/>
  <c r="E1824" i="1"/>
  <c r="F1824" i="1"/>
  <c r="G1824" i="1"/>
  <c r="E1825" i="1"/>
  <c r="F1825" i="1"/>
  <c r="G1825" i="1"/>
  <c r="E1826" i="1"/>
  <c r="F1826" i="1"/>
  <c r="G1826" i="1"/>
  <c r="E1827" i="1"/>
  <c r="F1827" i="1"/>
  <c r="G1827" i="1"/>
  <c r="E1828" i="1"/>
  <c r="F1828" i="1"/>
  <c r="G1828" i="1"/>
  <c r="E1829" i="1"/>
  <c r="F1829" i="1"/>
  <c r="G1829" i="1"/>
  <c r="E1830" i="1"/>
  <c r="F1830" i="1"/>
  <c r="G1830" i="1"/>
  <c r="E1831" i="1"/>
  <c r="F1831" i="1"/>
  <c r="G1831" i="1"/>
  <c r="E1832" i="1"/>
  <c r="F1832" i="1"/>
  <c r="G1832" i="1"/>
  <c r="E1833" i="1"/>
  <c r="F1833" i="1"/>
  <c r="G1833" i="1"/>
  <c r="E1834" i="1"/>
  <c r="F1834" i="1"/>
  <c r="G1834" i="1"/>
  <c r="E1835" i="1"/>
  <c r="F1835" i="1"/>
  <c r="G1835" i="1"/>
  <c r="E1836" i="1"/>
  <c r="F1836" i="1"/>
  <c r="G1836" i="1"/>
  <c r="E1837" i="1"/>
  <c r="F1837" i="1"/>
  <c r="G1837" i="1"/>
  <c r="E1838" i="1"/>
  <c r="F1838" i="1"/>
  <c r="G1838" i="1"/>
  <c r="E1839" i="1"/>
  <c r="F1839" i="1"/>
  <c r="G1839" i="1"/>
  <c r="E1840" i="1"/>
  <c r="F1840" i="1"/>
  <c r="G1840" i="1"/>
  <c r="E1841" i="1"/>
  <c r="F1841" i="1"/>
  <c r="G1841" i="1"/>
  <c r="E1842" i="1"/>
  <c r="F1842" i="1"/>
  <c r="G1842" i="1"/>
  <c r="E1843" i="1"/>
  <c r="F1843" i="1"/>
  <c r="G1843" i="1"/>
  <c r="E1844" i="1"/>
  <c r="F1844" i="1"/>
  <c r="G1844" i="1"/>
  <c r="E1845" i="1"/>
  <c r="F1845" i="1"/>
  <c r="G1845" i="1"/>
  <c r="E1846" i="1"/>
  <c r="F1846" i="1"/>
  <c r="G1846" i="1"/>
  <c r="E1847" i="1"/>
  <c r="F1847" i="1"/>
  <c r="G1847" i="1"/>
  <c r="E1848" i="1"/>
  <c r="F1848" i="1"/>
  <c r="G1848" i="1"/>
  <c r="E1849" i="1"/>
  <c r="F1849" i="1"/>
  <c r="G1849" i="1"/>
  <c r="E1850" i="1"/>
  <c r="F1850" i="1"/>
  <c r="G1850" i="1"/>
  <c r="E1851" i="1"/>
  <c r="F1851" i="1"/>
  <c r="G1851" i="1"/>
  <c r="E1852" i="1"/>
  <c r="F1852" i="1"/>
  <c r="G1852" i="1"/>
  <c r="E1853" i="1"/>
  <c r="F1853" i="1"/>
  <c r="G1853" i="1"/>
  <c r="E1854" i="1"/>
  <c r="F1854" i="1"/>
  <c r="G1854" i="1"/>
  <c r="E1855" i="1"/>
  <c r="F1855" i="1"/>
  <c r="G1855" i="1"/>
  <c r="E1856" i="1"/>
  <c r="F1856" i="1"/>
  <c r="G1856" i="1"/>
  <c r="E1857" i="1"/>
  <c r="F1857" i="1"/>
  <c r="G1857" i="1"/>
  <c r="E1858" i="1"/>
  <c r="F1858" i="1"/>
  <c r="G1858" i="1"/>
  <c r="E1859" i="1"/>
  <c r="F1859" i="1"/>
  <c r="G1859" i="1"/>
  <c r="E1860" i="1"/>
  <c r="F1860" i="1"/>
  <c r="G1860" i="1"/>
  <c r="E1861" i="1"/>
  <c r="F1861" i="1"/>
  <c r="G1861" i="1"/>
  <c r="E1862" i="1"/>
  <c r="F1862" i="1"/>
  <c r="G1862" i="1"/>
  <c r="E1863" i="1"/>
  <c r="F1863" i="1"/>
  <c r="G1863" i="1"/>
  <c r="E1864" i="1"/>
  <c r="F1864" i="1"/>
  <c r="G1864" i="1"/>
  <c r="E1865" i="1"/>
  <c r="F1865" i="1"/>
  <c r="G1865" i="1"/>
  <c r="E1866" i="1"/>
  <c r="F1866" i="1"/>
  <c r="G1866" i="1"/>
  <c r="E1867" i="1"/>
  <c r="F1867" i="1"/>
  <c r="G1867" i="1"/>
  <c r="E1868" i="1"/>
  <c r="F1868" i="1"/>
  <c r="G1868" i="1"/>
  <c r="E1869" i="1"/>
  <c r="F1869" i="1"/>
  <c r="G1869" i="1"/>
  <c r="E1870" i="1"/>
  <c r="F1870" i="1"/>
  <c r="G1870" i="1"/>
  <c r="E1871" i="1"/>
  <c r="F1871" i="1"/>
  <c r="G1871" i="1"/>
  <c r="E1872" i="1"/>
  <c r="F1872" i="1"/>
  <c r="G1872" i="1"/>
  <c r="E1873" i="1"/>
  <c r="F1873" i="1"/>
  <c r="G1873" i="1"/>
  <c r="E1874" i="1"/>
  <c r="F1874" i="1"/>
  <c r="G1874" i="1"/>
  <c r="E1875" i="1"/>
  <c r="F1875" i="1"/>
  <c r="G1875" i="1"/>
  <c r="E1876" i="1"/>
  <c r="F1876" i="1"/>
  <c r="G1876" i="1"/>
  <c r="E1877" i="1"/>
  <c r="F1877" i="1"/>
  <c r="G1877" i="1"/>
  <c r="E1878" i="1"/>
  <c r="F1878" i="1"/>
  <c r="G1878" i="1"/>
  <c r="E1879" i="1"/>
  <c r="F1879" i="1"/>
  <c r="G1879" i="1"/>
  <c r="E1880" i="1"/>
  <c r="F1880" i="1"/>
  <c r="G1880" i="1"/>
  <c r="E1881" i="1"/>
  <c r="F1881" i="1"/>
  <c r="G1881" i="1"/>
  <c r="E1882" i="1"/>
  <c r="F1882" i="1"/>
  <c r="G1882" i="1"/>
  <c r="E1883" i="1"/>
  <c r="F1883" i="1"/>
  <c r="G1883" i="1"/>
  <c r="E1884" i="1"/>
  <c r="F1884" i="1"/>
  <c r="G1884" i="1"/>
  <c r="E1885" i="1"/>
  <c r="F1885" i="1"/>
  <c r="G1885" i="1"/>
  <c r="E1886" i="1"/>
  <c r="F1886" i="1"/>
  <c r="G1886" i="1"/>
  <c r="E1887" i="1"/>
  <c r="F1887" i="1"/>
  <c r="G1887" i="1"/>
  <c r="E1888" i="1"/>
  <c r="F1888" i="1"/>
  <c r="G1888" i="1"/>
  <c r="E1889" i="1"/>
  <c r="F1889" i="1"/>
  <c r="G1889" i="1"/>
  <c r="E1890" i="1"/>
  <c r="F1890" i="1"/>
  <c r="G1890" i="1"/>
  <c r="E1891" i="1"/>
  <c r="F1891" i="1"/>
  <c r="G1891" i="1"/>
  <c r="E1892" i="1"/>
  <c r="F1892" i="1"/>
  <c r="G1892" i="1"/>
  <c r="E1893" i="1"/>
  <c r="F1893" i="1"/>
  <c r="G1893" i="1"/>
  <c r="E1894" i="1"/>
  <c r="F1894" i="1"/>
  <c r="G1894" i="1"/>
  <c r="E1895" i="1"/>
  <c r="F1895" i="1"/>
  <c r="G1895" i="1"/>
  <c r="E1896" i="1"/>
  <c r="F1896" i="1"/>
  <c r="G1896" i="1"/>
  <c r="E1897" i="1"/>
  <c r="F1897" i="1"/>
  <c r="G1897" i="1"/>
  <c r="E1898" i="1"/>
  <c r="F1898" i="1"/>
  <c r="G1898" i="1"/>
  <c r="E1899" i="1"/>
  <c r="F1899" i="1"/>
  <c r="G1899" i="1"/>
  <c r="E1900" i="1"/>
  <c r="F1900" i="1"/>
  <c r="G1900" i="1"/>
  <c r="E1901" i="1"/>
  <c r="F1901" i="1"/>
  <c r="G1901" i="1"/>
  <c r="E1902" i="1"/>
  <c r="F1902" i="1"/>
  <c r="G1902" i="1"/>
  <c r="E1903" i="1"/>
  <c r="F1903" i="1"/>
  <c r="G1903" i="1"/>
  <c r="E1904" i="1"/>
  <c r="F1904" i="1"/>
  <c r="G1904" i="1"/>
  <c r="E1905" i="1"/>
  <c r="F1905" i="1"/>
  <c r="G1905" i="1"/>
  <c r="E1906" i="1"/>
  <c r="F1906" i="1"/>
  <c r="G1906" i="1"/>
  <c r="E1907" i="1"/>
  <c r="F1907" i="1"/>
  <c r="G1907" i="1"/>
  <c r="E1908" i="1"/>
  <c r="F1908" i="1"/>
  <c r="G1908" i="1"/>
  <c r="E1909" i="1"/>
  <c r="F1909" i="1"/>
  <c r="G1909" i="1"/>
  <c r="E1910" i="1"/>
  <c r="F1910" i="1"/>
  <c r="G1910" i="1"/>
  <c r="E1911" i="1"/>
  <c r="F1911" i="1"/>
  <c r="G1911" i="1"/>
  <c r="E1912" i="1"/>
  <c r="F1912" i="1"/>
  <c r="G1912" i="1"/>
  <c r="E1913" i="1"/>
  <c r="F1913" i="1"/>
  <c r="G1913" i="1"/>
  <c r="E1914" i="1"/>
  <c r="F1914" i="1"/>
  <c r="G1914" i="1"/>
  <c r="E1915" i="1"/>
  <c r="F1915" i="1"/>
  <c r="G1915" i="1"/>
  <c r="E1916" i="1"/>
  <c r="F1916" i="1"/>
  <c r="G1916" i="1"/>
  <c r="E1917" i="1"/>
  <c r="F1917" i="1"/>
  <c r="G1917" i="1"/>
  <c r="E1918" i="1"/>
  <c r="F1918" i="1"/>
  <c r="G1918" i="1"/>
  <c r="E1919" i="1"/>
  <c r="F1919" i="1"/>
  <c r="G1919" i="1"/>
  <c r="E1920" i="1"/>
  <c r="F1920" i="1"/>
  <c r="G1920" i="1"/>
  <c r="E1921" i="1"/>
  <c r="F1921" i="1"/>
  <c r="G1921" i="1"/>
  <c r="E1922" i="1"/>
  <c r="F1922" i="1"/>
  <c r="G1922" i="1"/>
  <c r="E1923" i="1"/>
  <c r="F1923" i="1"/>
  <c r="G1923" i="1"/>
  <c r="E1924" i="1"/>
  <c r="F1924" i="1"/>
  <c r="G1924" i="1"/>
  <c r="E1925" i="1"/>
  <c r="F1925" i="1"/>
  <c r="G1925" i="1"/>
  <c r="E1926" i="1"/>
  <c r="F1926" i="1"/>
  <c r="G1926" i="1"/>
  <c r="E1927" i="1"/>
  <c r="F1927" i="1"/>
  <c r="G1927" i="1"/>
  <c r="E1928" i="1"/>
  <c r="F1928" i="1"/>
  <c r="G1928" i="1"/>
  <c r="E1929" i="1"/>
  <c r="F1929" i="1"/>
  <c r="G1929" i="1"/>
  <c r="E1930" i="1"/>
  <c r="F1930" i="1"/>
  <c r="G1930" i="1"/>
  <c r="E1931" i="1"/>
  <c r="F1931" i="1"/>
  <c r="G1931" i="1"/>
  <c r="E1932" i="1"/>
  <c r="F1932" i="1"/>
  <c r="G1932" i="1"/>
  <c r="E1933" i="1"/>
  <c r="F1933" i="1"/>
  <c r="G1933" i="1"/>
  <c r="E1934" i="1"/>
  <c r="F1934" i="1"/>
  <c r="G1934" i="1"/>
  <c r="E1935" i="1"/>
  <c r="F1935" i="1"/>
  <c r="G1935" i="1"/>
  <c r="E1936" i="1"/>
  <c r="F1936" i="1"/>
  <c r="G1936" i="1"/>
  <c r="E1937" i="1"/>
  <c r="F1937" i="1"/>
  <c r="G1937" i="1"/>
  <c r="E1938" i="1"/>
  <c r="F1938" i="1"/>
  <c r="G1938" i="1"/>
  <c r="E1939" i="1"/>
  <c r="F1939" i="1"/>
  <c r="G1939" i="1"/>
  <c r="E1940" i="1"/>
  <c r="F1940" i="1"/>
  <c r="G1940" i="1"/>
  <c r="E1941" i="1"/>
  <c r="F1941" i="1"/>
  <c r="G1941" i="1"/>
  <c r="E1942" i="1"/>
  <c r="F1942" i="1"/>
  <c r="G1942" i="1"/>
  <c r="E1943" i="1"/>
  <c r="F1943" i="1"/>
  <c r="G1943" i="1"/>
  <c r="E1944" i="1"/>
  <c r="F1944" i="1"/>
  <c r="G1944" i="1"/>
  <c r="E1945" i="1"/>
  <c r="F1945" i="1"/>
  <c r="G1945" i="1"/>
  <c r="E1946" i="1"/>
  <c r="F1946" i="1"/>
  <c r="G1946" i="1"/>
  <c r="E1947" i="1"/>
  <c r="F1947" i="1"/>
  <c r="G1947" i="1"/>
  <c r="E1948" i="1"/>
  <c r="F1948" i="1"/>
  <c r="G1948" i="1"/>
  <c r="E1949" i="1"/>
  <c r="F1949" i="1"/>
  <c r="G1949" i="1"/>
  <c r="E1950" i="1"/>
  <c r="F1950" i="1"/>
  <c r="G1950" i="1"/>
  <c r="E1951" i="1"/>
  <c r="F1951" i="1"/>
  <c r="G1951" i="1"/>
  <c r="E1952" i="1"/>
  <c r="F1952" i="1"/>
  <c r="G1952" i="1"/>
  <c r="E1953" i="1"/>
  <c r="F1953" i="1"/>
  <c r="G1953" i="1"/>
  <c r="E1954" i="1"/>
  <c r="F1954" i="1"/>
  <c r="G1954" i="1"/>
  <c r="E1955" i="1"/>
  <c r="F1955" i="1"/>
  <c r="G1955" i="1"/>
  <c r="E1956" i="1"/>
  <c r="F1956" i="1"/>
  <c r="G1956" i="1"/>
  <c r="E1957" i="1"/>
  <c r="F1957" i="1"/>
  <c r="G1957" i="1"/>
  <c r="E1958" i="1"/>
  <c r="F1958" i="1"/>
  <c r="G1958" i="1"/>
  <c r="E1959" i="1"/>
  <c r="F1959" i="1"/>
  <c r="G1959" i="1"/>
  <c r="E1960" i="1"/>
  <c r="F1960" i="1"/>
  <c r="G1960" i="1"/>
  <c r="E1961" i="1"/>
  <c r="F1961" i="1"/>
  <c r="G1961" i="1"/>
  <c r="E1962" i="1"/>
  <c r="F1962" i="1"/>
  <c r="G1962" i="1"/>
  <c r="E1963" i="1"/>
  <c r="F1963" i="1"/>
  <c r="G1963" i="1"/>
  <c r="E1964" i="1"/>
  <c r="F1964" i="1"/>
  <c r="G1964" i="1"/>
  <c r="E1965" i="1"/>
  <c r="F1965" i="1"/>
  <c r="G1965" i="1"/>
  <c r="E1966" i="1"/>
  <c r="F1966" i="1"/>
  <c r="G1966" i="1"/>
  <c r="E1967" i="1"/>
  <c r="F1967" i="1"/>
  <c r="G1967" i="1"/>
  <c r="E1968" i="1"/>
  <c r="F1968" i="1"/>
  <c r="G1968" i="1"/>
  <c r="E1969" i="1"/>
  <c r="F1969" i="1"/>
  <c r="G1969" i="1"/>
  <c r="E1970" i="1"/>
  <c r="F1970" i="1"/>
  <c r="G1970" i="1"/>
  <c r="E1971" i="1"/>
  <c r="F1971" i="1"/>
  <c r="G1971" i="1"/>
  <c r="E1972" i="1"/>
  <c r="F1972" i="1"/>
  <c r="G1972" i="1"/>
  <c r="E1973" i="1"/>
  <c r="F1973" i="1"/>
  <c r="G1973" i="1"/>
  <c r="E1974" i="1"/>
  <c r="F1974" i="1"/>
  <c r="G1974" i="1"/>
  <c r="E1975" i="1"/>
  <c r="F1975" i="1"/>
  <c r="G1975" i="1"/>
  <c r="E1976" i="1"/>
  <c r="F1976" i="1"/>
  <c r="G1976" i="1"/>
  <c r="E1977" i="1"/>
  <c r="F1977" i="1"/>
  <c r="G1977" i="1"/>
  <c r="E1978" i="1"/>
  <c r="F1978" i="1"/>
  <c r="G1978" i="1"/>
  <c r="E1979" i="1"/>
  <c r="F1979" i="1"/>
  <c r="G1979" i="1"/>
  <c r="E1980" i="1"/>
  <c r="F1980" i="1"/>
  <c r="G1980" i="1"/>
  <c r="E1981" i="1"/>
  <c r="F1981" i="1"/>
  <c r="G1981" i="1"/>
  <c r="E1982" i="1"/>
  <c r="F1982" i="1"/>
  <c r="G1982" i="1"/>
  <c r="E1983" i="1"/>
  <c r="F1983" i="1"/>
  <c r="G1983" i="1"/>
  <c r="E1984" i="1"/>
  <c r="F1984" i="1"/>
  <c r="G1984" i="1"/>
  <c r="E1985" i="1"/>
  <c r="F1985" i="1"/>
  <c r="G1985" i="1"/>
  <c r="E1986" i="1"/>
  <c r="F1986" i="1"/>
  <c r="G1986" i="1"/>
  <c r="E1987" i="1"/>
  <c r="F1987" i="1"/>
  <c r="G1987" i="1"/>
  <c r="E1988" i="1"/>
  <c r="F1988" i="1"/>
  <c r="G1988" i="1"/>
  <c r="E1989" i="1"/>
  <c r="F1989" i="1"/>
  <c r="G1989" i="1"/>
  <c r="E1990" i="1"/>
  <c r="F1990" i="1"/>
  <c r="G1990" i="1"/>
  <c r="E1991" i="1"/>
  <c r="F1991" i="1"/>
  <c r="G1991" i="1"/>
  <c r="E1992" i="1"/>
  <c r="F1992" i="1"/>
  <c r="G1992" i="1"/>
  <c r="E1993" i="1"/>
  <c r="F1993" i="1"/>
  <c r="G1993" i="1"/>
  <c r="E1994" i="1"/>
  <c r="F1994" i="1"/>
  <c r="G1994" i="1"/>
  <c r="E1995" i="1"/>
  <c r="F1995" i="1"/>
  <c r="G1995" i="1"/>
  <c r="E1996" i="1"/>
  <c r="F1996" i="1"/>
  <c r="G1996" i="1"/>
  <c r="E1997" i="1"/>
  <c r="F1997" i="1"/>
  <c r="G1997" i="1"/>
  <c r="E1998" i="1"/>
  <c r="F1998" i="1"/>
  <c r="G1998" i="1"/>
  <c r="E1999" i="1"/>
  <c r="F1999" i="1"/>
  <c r="G1999" i="1"/>
  <c r="E2000" i="1"/>
  <c r="F2000" i="1"/>
  <c r="G2000" i="1"/>
  <c r="E2001" i="1"/>
  <c r="F2001" i="1"/>
  <c r="G2001" i="1"/>
  <c r="E2002" i="1"/>
  <c r="F2002" i="1"/>
  <c r="G2002" i="1"/>
  <c r="E2003" i="1"/>
  <c r="F2003" i="1"/>
  <c r="G2003" i="1"/>
  <c r="E2004" i="1"/>
  <c r="F2004" i="1"/>
  <c r="G2004" i="1"/>
  <c r="E2005" i="1"/>
  <c r="F2005" i="1"/>
  <c r="G2005" i="1"/>
  <c r="E2006" i="1"/>
  <c r="F2006" i="1"/>
  <c r="G2006" i="1"/>
  <c r="E2007" i="1"/>
  <c r="F2007" i="1"/>
  <c r="G2007" i="1"/>
  <c r="E2008" i="1"/>
  <c r="F2008" i="1"/>
  <c r="G2008" i="1"/>
  <c r="E2009" i="1"/>
  <c r="F2009" i="1"/>
  <c r="G2009" i="1"/>
  <c r="E2010" i="1"/>
  <c r="F2010" i="1"/>
  <c r="G2010" i="1"/>
  <c r="E2011" i="1"/>
  <c r="F2011" i="1"/>
  <c r="G2011" i="1"/>
  <c r="E2012" i="1"/>
  <c r="F2012" i="1"/>
  <c r="G2012" i="1"/>
  <c r="E2013" i="1"/>
  <c r="F2013" i="1"/>
  <c r="G2013" i="1"/>
  <c r="E2014" i="1"/>
  <c r="F2014" i="1"/>
  <c r="G2014" i="1"/>
  <c r="E2015" i="1"/>
  <c r="F2015" i="1"/>
  <c r="G2015" i="1"/>
  <c r="E2016" i="1"/>
  <c r="F2016" i="1"/>
  <c r="G2016" i="1"/>
  <c r="E2017" i="1"/>
  <c r="F2017" i="1"/>
  <c r="G2017" i="1"/>
  <c r="E2018" i="1"/>
  <c r="F2018" i="1"/>
  <c r="G2018" i="1"/>
  <c r="E2019" i="1"/>
  <c r="F2019" i="1"/>
  <c r="G2019" i="1"/>
  <c r="E2020" i="1"/>
  <c r="F2020" i="1"/>
  <c r="G2020" i="1"/>
  <c r="E2021" i="1"/>
  <c r="F2021" i="1"/>
  <c r="G2021" i="1"/>
  <c r="E2022" i="1"/>
  <c r="F2022" i="1"/>
  <c r="G2022" i="1"/>
  <c r="E2023" i="1"/>
  <c r="F2023" i="1"/>
  <c r="G2023" i="1"/>
  <c r="E2024" i="1"/>
  <c r="F2024" i="1"/>
  <c r="G2024" i="1"/>
  <c r="E2025" i="1"/>
  <c r="F2025" i="1"/>
  <c r="G2025" i="1"/>
  <c r="E2026" i="1"/>
  <c r="F2026" i="1"/>
  <c r="G2026" i="1"/>
  <c r="E2027" i="1"/>
  <c r="F2027" i="1"/>
  <c r="G2027" i="1"/>
  <c r="E2028" i="1"/>
  <c r="F2028" i="1"/>
  <c r="G2028" i="1"/>
  <c r="E2029" i="1"/>
  <c r="F2029" i="1"/>
  <c r="G2029" i="1"/>
  <c r="E2030" i="1"/>
  <c r="F2030" i="1"/>
  <c r="G2030" i="1"/>
  <c r="E2031" i="1"/>
  <c r="F2031" i="1"/>
  <c r="G2031" i="1"/>
  <c r="E2032" i="1"/>
  <c r="F2032" i="1"/>
  <c r="G2032" i="1"/>
  <c r="E2033" i="1"/>
  <c r="F2033" i="1"/>
  <c r="G2033" i="1"/>
  <c r="E2034" i="1"/>
  <c r="F2034" i="1"/>
  <c r="G2034" i="1"/>
  <c r="E2035" i="1"/>
  <c r="F2035" i="1"/>
  <c r="G2035" i="1"/>
  <c r="E2036" i="1"/>
  <c r="F2036" i="1"/>
  <c r="G2036" i="1"/>
  <c r="E2037" i="1"/>
  <c r="F2037" i="1"/>
  <c r="G2037" i="1"/>
  <c r="E2038" i="1"/>
  <c r="F2038" i="1"/>
  <c r="G2038" i="1"/>
  <c r="E2039" i="1"/>
  <c r="F2039" i="1"/>
  <c r="G2039" i="1"/>
  <c r="E2040" i="1"/>
  <c r="F2040" i="1"/>
  <c r="G2040" i="1"/>
  <c r="E2041" i="1"/>
  <c r="F2041" i="1"/>
  <c r="G2041" i="1"/>
  <c r="E2042" i="1"/>
  <c r="F2042" i="1"/>
  <c r="G2042" i="1"/>
  <c r="E2043" i="1"/>
  <c r="F2043" i="1"/>
  <c r="G2043" i="1"/>
  <c r="E2044" i="1"/>
  <c r="F2044" i="1"/>
  <c r="G2044" i="1"/>
  <c r="E2045" i="1"/>
  <c r="F2045" i="1"/>
  <c r="G2045" i="1"/>
  <c r="E2046" i="1"/>
  <c r="F2046" i="1"/>
  <c r="G2046" i="1"/>
  <c r="E2047" i="1"/>
  <c r="F2047" i="1"/>
  <c r="G2047" i="1"/>
  <c r="E2048" i="1"/>
  <c r="F2048" i="1"/>
  <c r="G2048" i="1"/>
  <c r="E2049" i="1"/>
  <c r="F2049" i="1"/>
  <c r="G2049" i="1"/>
  <c r="E2050" i="1"/>
  <c r="F2050" i="1"/>
  <c r="G2050" i="1"/>
  <c r="E2051" i="1"/>
  <c r="F2051" i="1"/>
  <c r="G2051" i="1"/>
  <c r="E2052" i="1"/>
  <c r="F2052" i="1"/>
  <c r="G2052" i="1"/>
  <c r="E2053" i="1"/>
  <c r="F2053" i="1"/>
  <c r="G2053" i="1"/>
  <c r="E2054" i="1"/>
  <c r="F2054" i="1"/>
  <c r="G2054" i="1"/>
  <c r="E2055" i="1"/>
  <c r="F2055" i="1"/>
  <c r="G2055" i="1"/>
  <c r="E2056" i="1"/>
  <c r="F2056" i="1"/>
  <c r="G2056" i="1"/>
  <c r="E2057" i="1"/>
  <c r="F2057" i="1"/>
  <c r="G2057" i="1"/>
  <c r="E2058" i="1"/>
  <c r="F2058" i="1"/>
  <c r="G2058" i="1"/>
  <c r="E2059" i="1"/>
  <c r="F2059" i="1"/>
  <c r="G2059" i="1"/>
  <c r="E2060" i="1"/>
  <c r="F2060" i="1"/>
  <c r="G2060" i="1"/>
  <c r="E2061" i="1"/>
  <c r="F2061" i="1"/>
  <c r="G2061" i="1"/>
  <c r="E2062" i="1"/>
  <c r="F2062" i="1"/>
  <c r="G2062" i="1"/>
  <c r="E2063" i="1"/>
  <c r="F2063" i="1"/>
  <c r="G2063" i="1"/>
  <c r="E2064" i="1"/>
  <c r="F2064" i="1"/>
  <c r="G2064" i="1"/>
  <c r="E2065" i="1"/>
  <c r="F2065" i="1"/>
  <c r="G2065" i="1"/>
  <c r="E2066" i="1"/>
  <c r="F2066" i="1"/>
  <c r="G2066" i="1"/>
  <c r="E2067" i="1"/>
  <c r="F2067" i="1"/>
  <c r="G2067" i="1"/>
  <c r="E2068" i="1"/>
  <c r="F2068" i="1"/>
  <c r="G2068" i="1"/>
  <c r="E2069" i="1"/>
  <c r="F2069" i="1"/>
  <c r="G2069" i="1"/>
  <c r="E2070" i="1"/>
  <c r="F2070" i="1"/>
  <c r="G2070" i="1"/>
  <c r="E2071" i="1"/>
  <c r="F2071" i="1"/>
  <c r="G2071" i="1"/>
  <c r="E2072" i="1"/>
  <c r="F2072" i="1"/>
  <c r="G2072" i="1"/>
  <c r="E2073" i="1"/>
  <c r="F2073" i="1"/>
  <c r="G2073" i="1"/>
  <c r="E2074" i="1"/>
  <c r="F2074" i="1"/>
  <c r="G2074" i="1"/>
  <c r="E2075" i="1"/>
  <c r="F2075" i="1"/>
  <c r="G2075" i="1"/>
  <c r="E2076" i="1"/>
  <c r="F2076" i="1"/>
  <c r="G2076" i="1"/>
  <c r="E2077" i="1"/>
  <c r="F2077" i="1"/>
  <c r="G2077" i="1"/>
  <c r="E2078" i="1"/>
  <c r="F2078" i="1"/>
  <c r="G2078" i="1"/>
  <c r="E2079" i="1"/>
  <c r="F2079" i="1"/>
  <c r="G2079" i="1"/>
  <c r="E2080" i="1"/>
  <c r="F2080" i="1"/>
  <c r="G2080" i="1"/>
  <c r="E2081" i="1"/>
  <c r="F2081" i="1"/>
  <c r="G2081" i="1"/>
  <c r="E2082" i="1"/>
  <c r="F2082" i="1"/>
  <c r="G2082" i="1"/>
  <c r="E2083" i="1"/>
  <c r="F2083" i="1"/>
  <c r="G2083" i="1"/>
  <c r="E2084" i="1"/>
  <c r="F2084" i="1"/>
  <c r="G2084" i="1"/>
  <c r="E2085" i="1"/>
  <c r="F2085" i="1"/>
  <c r="G2085" i="1"/>
  <c r="E2086" i="1"/>
  <c r="F2086" i="1"/>
  <c r="G2086" i="1"/>
  <c r="E2087" i="1"/>
  <c r="F2087" i="1"/>
  <c r="G2087" i="1"/>
  <c r="E2088" i="1"/>
  <c r="F2088" i="1"/>
  <c r="G2088" i="1"/>
  <c r="E2089" i="1"/>
  <c r="F2089" i="1"/>
  <c r="G2089" i="1"/>
  <c r="E2090" i="1"/>
  <c r="F2090" i="1"/>
  <c r="G2090" i="1"/>
  <c r="E2091" i="1"/>
  <c r="F2091" i="1"/>
  <c r="G2091" i="1"/>
  <c r="E2092" i="1"/>
  <c r="F2092" i="1"/>
  <c r="G2092" i="1"/>
  <c r="E2093" i="1"/>
  <c r="F2093" i="1"/>
  <c r="G2093" i="1"/>
  <c r="E2094" i="1"/>
  <c r="F2094" i="1"/>
  <c r="G2094" i="1"/>
  <c r="E2095" i="1"/>
  <c r="F2095" i="1"/>
  <c r="G2095" i="1"/>
  <c r="E2096" i="1"/>
  <c r="F2096" i="1"/>
  <c r="G2096" i="1"/>
  <c r="E2097" i="1"/>
  <c r="F2097" i="1"/>
  <c r="G2097" i="1"/>
  <c r="E2098" i="1"/>
  <c r="F2098" i="1"/>
  <c r="G2098" i="1"/>
  <c r="E2099" i="1"/>
  <c r="F2099" i="1"/>
  <c r="G2099" i="1"/>
  <c r="E2100" i="1"/>
  <c r="F2100" i="1"/>
  <c r="G2100" i="1"/>
  <c r="E2101" i="1"/>
  <c r="F2101" i="1"/>
  <c r="G2101" i="1"/>
  <c r="E2102" i="1"/>
  <c r="F2102" i="1"/>
  <c r="G2102" i="1"/>
  <c r="E2103" i="1"/>
  <c r="F2103" i="1"/>
  <c r="G2103" i="1"/>
  <c r="E2104" i="1"/>
  <c r="F2104" i="1"/>
  <c r="G2104" i="1"/>
  <c r="E2105" i="1"/>
  <c r="F2105" i="1"/>
  <c r="G2105" i="1"/>
  <c r="E2106" i="1"/>
  <c r="F2106" i="1"/>
  <c r="G2106" i="1"/>
  <c r="E2107" i="1"/>
  <c r="F2107" i="1"/>
  <c r="G2107" i="1"/>
  <c r="E2108" i="1"/>
  <c r="F2108" i="1"/>
  <c r="G2108" i="1"/>
  <c r="E2109" i="1"/>
  <c r="F2109" i="1"/>
  <c r="G2109" i="1"/>
  <c r="E2110" i="1"/>
  <c r="F2110" i="1"/>
  <c r="G2110" i="1"/>
  <c r="E2111" i="1"/>
  <c r="F2111" i="1"/>
  <c r="G2111" i="1"/>
  <c r="E2112" i="1"/>
  <c r="F2112" i="1"/>
  <c r="G2112" i="1"/>
  <c r="E2113" i="1"/>
  <c r="F2113" i="1"/>
  <c r="G2113" i="1"/>
  <c r="E2114" i="1"/>
  <c r="F2114" i="1"/>
  <c r="G2114" i="1"/>
  <c r="E2115" i="1"/>
  <c r="F2115" i="1"/>
  <c r="G2115" i="1"/>
  <c r="E2116" i="1"/>
  <c r="F2116" i="1"/>
  <c r="G2116" i="1"/>
  <c r="E2117" i="1"/>
  <c r="F2117" i="1"/>
  <c r="G2117" i="1"/>
  <c r="E2118" i="1"/>
  <c r="F2118" i="1"/>
  <c r="G2118" i="1"/>
  <c r="E2119" i="1"/>
  <c r="F2119" i="1"/>
  <c r="G2119" i="1"/>
  <c r="E2120" i="1"/>
  <c r="F2120" i="1"/>
  <c r="G2120" i="1"/>
  <c r="E2121" i="1"/>
  <c r="F2121" i="1"/>
  <c r="G2121" i="1"/>
  <c r="E2122" i="1"/>
  <c r="F2122" i="1"/>
  <c r="G2122" i="1"/>
  <c r="E2123" i="1"/>
  <c r="F2123" i="1"/>
  <c r="G2123" i="1"/>
  <c r="E2124" i="1"/>
  <c r="F2124" i="1"/>
  <c r="G2124" i="1"/>
  <c r="E2125" i="1"/>
  <c r="F2125" i="1"/>
  <c r="G2125" i="1"/>
  <c r="E2126" i="1"/>
  <c r="F2126" i="1"/>
  <c r="G2126" i="1"/>
  <c r="E2127" i="1"/>
  <c r="F2127" i="1"/>
  <c r="G2127" i="1"/>
  <c r="E2128" i="1"/>
  <c r="F2128" i="1"/>
  <c r="G2128" i="1"/>
  <c r="E2129" i="1"/>
  <c r="F2129" i="1"/>
  <c r="G2129" i="1"/>
  <c r="E2130" i="1"/>
  <c r="F2130" i="1"/>
  <c r="G2130" i="1"/>
  <c r="E2131" i="1"/>
  <c r="F2131" i="1"/>
  <c r="G2131" i="1"/>
  <c r="E2132" i="1"/>
  <c r="F2132" i="1"/>
  <c r="G2132" i="1"/>
  <c r="E2133" i="1"/>
  <c r="F2133" i="1"/>
  <c r="G2133" i="1"/>
  <c r="E2134" i="1"/>
  <c r="F2134" i="1"/>
  <c r="G2134" i="1"/>
  <c r="E2135" i="1"/>
  <c r="F2135" i="1"/>
  <c r="G2135" i="1"/>
  <c r="E2136" i="1"/>
  <c r="F2136" i="1"/>
  <c r="G2136" i="1"/>
  <c r="E2137" i="1"/>
  <c r="F2137" i="1"/>
  <c r="G2137" i="1"/>
  <c r="E2138" i="1"/>
  <c r="F2138" i="1"/>
  <c r="G2138" i="1"/>
  <c r="E2139" i="1"/>
  <c r="F2139" i="1"/>
  <c r="G2139" i="1"/>
  <c r="E2140" i="1"/>
  <c r="F2140" i="1"/>
  <c r="G2140" i="1"/>
  <c r="E2141" i="1"/>
  <c r="F2141" i="1"/>
  <c r="G2141" i="1"/>
  <c r="E2142" i="1"/>
  <c r="F2142" i="1"/>
  <c r="G2142" i="1"/>
  <c r="E2143" i="1"/>
  <c r="F2143" i="1"/>
  <c r="G2143" i="1"/>
  <c r="E2144" i="1"/>
  <c r="F2144" i="1"/>
  <c r="G2144" i="1"/>
  <c r="E2145" i="1"/>
  <c r="F2145" i="1"/>
  <c r="G2145" i="1"/>
  <c r="E2146" i="1"/>
  <c r="F2146" i="1"/>
  <c r="G2146" i="1"/>
  <c r="E2147" i="1"/>
  <c r="F2147" i="1"/>
  <c r="G2147" i="1"/>
  <c r="E2148" i="1"/>
  <c r="F2148" i="1"/>
  <c r="G2148" i="1"/>
  <c r="E2149" i="1"/>
  <c r="F2149" i="1"/>
  <c r="G2149" i="1"/>
  <c r="E2150" i="1"/>
  <c r="F2150" i="1"/>
  <c r="G2150" i="1"/>
  <c r="E2151" i="1"/>
  <c r="F2151" i="1"/>
  <c r="G2151" i="1"/>
  <c r="E2152" i="1"/>
  <c r="F2152" i="1"/>
  <c r="G2152" i="1"/>
  <c r="E2153" i="1"/>
  <c r="F2153" i="1"/>
  <c r="G2153" i="1"/>
  <c r="E2154" i="1"/>
  <c r="F2154" i="1"/>
  <c r="G2154" i="1"/>
  <c r="E2155" i="1"/>
  <c r="F2155" i="1"/>
  <c r="G2155" i="1"/>
  <c r="E2156" i="1"/>
  <c r="F2156" i="1"/>
  <c r="G2156" i="1"/>
  <c r="E2157" i="1"/>
  <c r="F2157" i="1"/>
  <c r="G2157" i="1"/>
  <c r="E2158" i="1"/>
  <c r="F2158" i="1"/>
  <c r="G2158" i="1"/>
  <c r="E2159" i="1"/>
  <c r="F2159" i="1"/>
  <c r="G2159" i="1"/>
  <c r="E2160" i="1"/>
  <c r="F2160" i="1"/>
  <c r="G2160" i="1"/>
  <c r="E2161" i="1"/>
  <c r="F2161" i="1"/>
  <c r="G2161" i="1"/>
  <c r="E2162" i="1"/>
  <c r="F2162" i="1"/>
  <c r="G2162" i="1"/>
  <c r="E2163" i="1"/>
  <c r="F2163" i="1"/>
  <c r="G2163" i="1"/>
  <c r="E2164" i="1"/>
  <c r="F2164" i="1"/>
  <c r="G2164" i="1"/>
  <c r="E2165" i="1"/>
  <c r="F2165" i="1"/>
  <c r="G2165" i="1"/>
  <c r="E2166" i="1"/>
  <c r="F2166" i="1"/>
  <c r="G2166" i="1"/>
  <c r="E2167" i="1"/>
  <c r="F2167" i="1"/>
  <c r="G2167" i="1"/>
  <c r="E2168" i="1"/>
  <c r="F2168" i="1"/>
  <c r="G2168" i="1"/>
  <c r="E2169" i="1"/>
  <c r="F2169" i="1"/>
  <c r="G2169" i="1"/>
  <c r="E2170" i="1"/>
  <c r="F2170" i="1"/>
  <c r="G2170" i="1"/>
  <c r="E2171" i="1"/>
  <c r="F2171" i="1"/>
  <c r="G2171" i="1"/>
  <c r="E2172" i="1"/>
  <c r="F2172" i="1"/>
  <c r="G2172" i="1"/>
  <c r="E2173" i="1"/>
  <c r="F2173" i="1"/>
  <c r="G2173" i="1"/>
  <c r="E2174" i="1"/>
  <c r="F2174" i="1"/>
  <c r="G2174" i="1"/>
  <c r="E2175" i="1"/>
  <c r="F2175" i="1"/>
  <c r="G2175" i="1"/>
  <c r="E2176" i="1"/>
  <c r="F2176" i="1"/>
  <c r="G2176" i="1"/>
  <c r="E2177" i="1"/>
  <c r="F2177" i="1"/>
  <c r="G2177" i="1"/>
  <c r="E2178" i="1"/>
  <c r="F2178" i="1"/>
  <c r="G2178" i="1"/>
  <c r="E2179" i="1"/>
  <c r="F2179" i="1"/>
  <c r="G2179" i="1"/>
  <c r="E2180" i="1"/>
  <c r="F2180" i="1"/>
  <c r="G2180" i="1"/>
  <c r="E2181" i="1"/>
  <c r="F2181" i="1"/>
  <c r="G2181" i="1"/>
  <c r="E2182" i="1"/>
  <c r="F2182" i="1"/>
  <c r="G2182" i="1"/>
  <c r="E2183" i="1"/>
  <c r="F2183" i="1"/>
  <c r="G2183" i="1"/>
  <c r="E2184" i="1"/>
  <c r="F2184" i="1"/>
  <c r="G2184" i="1"/>
  <c r="E2185" i="1"/>
  <c r="F2185" i="1"/>
  <c r="G2185" i="1"/>
  <c r="E2186" i="1"/>
  <c r="F2186" i="1"/>
  <c r="G2186" i="1"/>
  <c r="E2187" i="1"/>
  <c r="F2187" i="1"/>
  <c r="G2187" i="1"/>
  <c r="E2188" i="1"/>
  <c r="F2188" i="1"/>
  <c r="G2188" i="1"/>
  <c r="E2189" i="1"/>
  <c r="F2189" i="1"/>
  <c r="G2189" i="1"/>
  <c r="E2190" i="1"/>
  <c r="F2190" i="1"/>
  <c r="G2190" i="1"/>
  <c r="E2191" i="1"/>
  <c r="F2191" i="1"/>
  <c r="G2191" i="1"/>
  <c r="E2192" i="1"/>
  <c r="F2192" i="1"/>
  <c r="G2192" i="1"/>
  <c r="E2193" i="1"/>
  <c r="F2193" i="1"/>
  <c r="G2193" i="1"/>
  <c r="E2194" i="1"/>
  <c r="F2194" i="1"/>
  <c r="G2194" i="1"/>
  <c r="E2195" i="1"/>
  <c r="F2195" i="1"/>
  <c r="G2195" i="1"/>
  <c r="E2196" i="1"/>
  <c r="F2196" i="1"/>
  <c r="G2196" i="1"/>
  <c r="E2197" i="1"/>
  <c r="F2197" i="1"/>
  <c r="G2197" i="1"/>
  <c r="E2198" i="1"/>
  <c r="F2198" i="1"/>
  <c r="G2198" i="1"/>
  <c r="E2199" i="1"/>
  <c r="F2199" i="1"/>
  <c r="G2199" i="1"/>
  <c r="E2200" i="1"/>
  <c r="F2200" i="1"/>
  <c r="G2200" i="1"/>
  <c r="E2201" i="1"/>
  <c r="F2201" i="1"/>
  <c r="G2201" i="1"/>
  <c r="E2202" i="1"/>
  <c r="F2202" i="1"/>
  <c r="G2202" i="1"/>
  <c r="E2203" i="1"/>
  <c r="F2203" i="1"/>
  <c r="G2203" i="1"/>
  <c r="E2204" i="1"/>
  <c r="F2204" i="1"/>
  <c r="G2204" i="1"/>
  <c r="E2205" i="1"/>
  <c r="F2205" i="1"/>
  <c r="G2205" i="1"/>
  <c r="E2206" i="1"/>
  <c r="F2206" i="1"/>
  <c r="G2206" i="1"/>
  <c r="E2207" i="1"/>
  <c r="F2207" i="1"/>
  <c r="G2207" i="1"/>
  <c r="E2208" i="1"/>
  <c r="F2208" i="1"/>
  <c r="G2208" i="1"/>
  <c r="E2209" i="1"/>
  <c r="F2209" i="1"/>
  <c r="G2209" i="1"/>
  <c r="E2210" i="1"/>
  <c r="F2210" i="1"/>
  <c r="G2210" i="1"/>
  <c r="E2211" i="1"/>
  <c r="F2211" i="1"/>
  <c r="G2211" i="1"/>
  <c r="E2212" i="1"/>
  <c r="F2212" i="1"/>
  <c r="G2212" i="1"/>
  <c r="E2213" i="1"/>
  <c r="F2213" i="1"/>
  <c r="G2213" i="1"/>
  <c r="E2214" i="1"/>
  <c r="F2214" i="1"/>
  <c r="G2214" i="1"/>
  <c r="E2215" i="1"/>
  <c r="F2215" i="1"/>
  <c r="G2215" i="1"/>
  <c r="E2216" i="1"/>
  <c r="F2216" i="1"/>
  <c r="G2216" i="1"/>
  <c r="E2217" i="1"/>
  <c r="F2217" i="1"/>
  <c r="G2217" i="1"/>
  <c r="E2218" i="1"/>
  <c r="F2218" i="1"/>
  <c r="G2218" i="1"/>
  <c r="E2219" i="1"/>
  <c r="F2219" i="1"/>
  <c r="G2219" i="1"/>
  <c r="E2220" i="1"/>
  <c r="F2220" i="1"/>
  <c r="G2220" i="1"/>
  <c r="E2221" i="1"/>
  <c r="F2221" i="1"/>
  <c r="G2221" i="1"/>
  <c r="E2222" i="1"/>
  <c r="F2222" i="1"/>
  <c r="G2222" i="1"/>
  <c r="E2223" i="1"/>
  <c r="F2223" i="1"/>
  <c r="G2223" i="1"/>
  <c r="E2224" i="1"/>
  <c r="F2224" i="1"/>
  <c r="G2224" i="1"/>
  <c r="E2225" i="1"/>
  <c r="F2225" i="1"/>
  <c r="G2225" i="1"/>
  <c r="E2226" i="1"/>
  <c r="F2226" i="1"/>
  <c r="G2226" i="1"/>
  <c r="E2227" i="1"/>
  <c r="F2227" i="1"/>
  <c r="G2227" i="1"/>
  <c r="E2228" i="1"/>
  <c r="F2228" i="1"/>
  <c r="G2228" i="1"/>
  <c r="E2229" i="1"/>
  <c r="F2229" i="1"/>
  <c r="G2229" i="1"/>
  <c r="E2230" i="1"/>
  <c r="F2230" i="1"/>
  <c r="G2230" i="1"/>
  <c r="E2231" i="1"/>
  <c r="F2231" i="1"/>
  <c r="G2231" i="1"/>
  <c r="E2232" i="1"/>
  <c r="F2232" i="1"/>
  <c r="G2232" i="1"/>
  <c r="E2233" i="1"/>
  <c r="F2233" i="1"/>
  <c r="G2233" i="1"/>
  <c r="E2234" i="1"/>
  <c r="F2234" i="1"/>
  <c r="G2234" i="1"/>
  <c r="E2235" i="1"/>
  <c r="F2235" i="1"/>
  <c r="G2235" i="1"/>
  <c r="E2236" i="1"/>
  <c r="F2236" i="1"/>
  <c r="G2236" i="1"/>
  <c r="E2237" i="1"/>
  <c r="F2237" i="1"/>
  <c r="G2237" i="1"/>
  <c r="E2238" i="1"/>
  <c r="F2238" i="1"/>
  <c r="G2238" i="1"/>
  <c r="E2239" i="1"/>
  <c r="F2239" i="1"/>
  <c r="G2239" i="1"/>
  <c r="E2240" i="1"/>
  <c r="F2240" i="1"/>
  <c r="G2240" i="1"/>
  <c r="E2241" i="1"/>
  <c r="F2241" i="1"/>
  <c r="G2241" i="1"/>
  <c r="E2242" i="1"/>
  <c r="F2242" i="1"/>
  <c r="G2242" i="1"/>
  <c r="E2243" i="1"/>
  <c r="F2243" i="1"/>
  <c r="G2243" i="1"/>
  <c r="E2244" i="1"/>
  <c r="F2244" i="1"/>
  <c r="G2244" i="1"/>
  <c r="E2245" i="1"/>
  <c r="F2245" i="1"/>
  <c r="G2245" i="1"/>
  <c r="E2246" i="1"/>
  <c r="F2246" i="1"/>
  <c r="G2246" i="1"/>
  <c r="E2247" i="1"/>
  <c r="F2247" i="1"/>
  <c r="G2247" i="1"/>
  <c r="E2248" i="1"/>
  <c r="F2248" i="1"/>
  <c r="G2248" i="1"/>
  <c r="E2249" i="1"/>
  <c r="F2249" i="1"/>
  <c r="G2249" i="1"/>
  <c r="E2250" i="1"/>
  <c r="F2250" i="1"/>
  <c r="G2250" i="1"/>
  <c r="E2251" i="1"/>
  <c r="F2251" i="1"/>
  <c r="G2251" i="1"/>
  <c r="E2252" i="1"/>
  <c r="F2252" i="1"/>
  <c r="G2252" i="1"/>
  <c r="E2253" i="1"/>
  <c r="F2253" i="1"/>
  <c r="G2253" i="1"/>
  <c r="E2254" i="1"/>
  <c r="F2254" i="1"/>
  <c r="G2254" i="1"/>
  <c r="E2255" i="1"/>
  <c r="F2255" i="1"/>
  <c r="G2255" i="1"/>
  <c r="E2256" i="1"/>
  <c r="F2256" i="1"/>
  <c r="G2256" i="1"/>
  <c r="E2257" i="1"/>
  <c r="F2257" i="1"/>
  <c r="G2257" i="1"/>
  <c r="E2258" i="1"/>
  <c r="F2258" i="1"/>
  <c r="G2258" i="1"/>
  <c r="E2259" i="1"/>
  <c r="F2259" i="1"/>
  <c r="G2259" i="1"/>
  <c r="E2260" i="1"/>
  <c r="F2260" i="1"/>
  <c r="G2260" i="1"/>
  <c r="E2261" i="1"/>
  <c r="F2261" i="1"/>
  <c r="G2261" i="1"/>
  <c r="E2262" i="1"/>
  <c r="F2262" i="1"/>
  <c r="G2262" i="1"/>
  <c r="E2263" i="1"/>
  <c r="F2263" i="1"/>
  <c r="G2263" i="1"/>
  <c r="E2264" i="1"/>
  <c r="F2264" i="1"/>
  <c r="G2264" i="1"/>
  <c r="E2265" i="1"/>
  <c r="F2265" i="1"/>
  <c r="G2265" i="1"/>
  <c r="E2266" i="1"/>
  <c r="F2266" i="1"/>
  <c r="G2266" i="1"/>
  <c r="E2267" i="1"/>
  <c r="F2267" i="1"/>
  <c r="G2267" i="1"/>
  <c r="E2268" i="1"/>
  <c r="F2268" i="1"/>
  <c r="G2268" i="1"/>
  <c r="E2269" i="1"/>
  <c r="F2269" i="1"/>
  <c r="G2269" i="1"/>
  <c r="E2270" i="1"/>
  <c r="F2270" i="1"/>
  <c r="G2270" i="1"/>
  <c r="E2271" i="1"/>
  <c r="F2271" i="1"/>
  <c r="G2271" i="1"/>
  <c r="E2272" i="1"/>
  <c r="F2272" i="1"/>
  <c r="G2272" i="1"/>
  <c r="E2273" i="1"/>
  <c r="F2273" i="1"/>
  <c r="G2273" i="1"/>
  <c r="E2274" i="1"/>
  <c r="F2274" i="1"/>
  <c r="G2274" i="1"/>
  <c r="E2275" i="1"/>
  <c r="F2275" i="1"/>
  <c r="G2275" i="1"/>
  <c r="E2276" i="1"/>
  <c r="F2276" i="1"/>
  <c r="G2276" i="1"/>
  <c r="E2277" i="1"/>
  <c r="F2277" i="1"/>
  <c r="G2277" i="1"/>
  <c r="E2278" i="1"/>
  <c r="F2278" i="1"/>
  <c r="G2278" i="1"/>
  <c r="E2279" i="1"/>
  <c r="F2279" i="1"/>
  <c r="G2279" i="1"/>
  <c r="E2280" i="1"/>
  <c r="F2280" i="1"/>
  <c r="G2280" i="1"/>
  <c r="E2281" i="1"/>
  <c r="F2281" i="1"/>
  <c r="G2281" i="1"/>
  <c r="E2282" i="1"/>
  <c r="F2282" i="1"/>
  <c r="G2282" i="1"/>
  <c r="E2283" i="1"/>
  <c r="F2283" i="1"/>
  <c r="G2283" i="1"/>
  <c r="E2284" i="1"/>
  <c r="F2284" i="1"/>
  <c r="G2284" i="1"/>
  <c r="E2285" i="1"/>
  <c r="F2285" i="1"/>
  <c r="G2285" i="1"/>
  <c r="E2286" i="1"/>
  <c r="F2286" i="1"/>
  <c r="G2286" i="1"/>
  <c r="E2287" i="1"/>
  <c r="F2287" i="1"/>
  <c r="G2287" i="1"/>
  <c r="E2288" i="1"/>
  <c r="F2288" i="1"/>
  <c r="G2288" i="1"/>
  <c r="E2289" i="1"/>
  <c r="F2289" i="1"/>
  <c r="G2289" i="1"/>
  <c r="E2290" i="1"/>
  <c r="F2290" i="1"/>
  <c r="G2290" i="1"/>
  <c r="E2291" i="1"/>
  <c r="F2291" i="1"/>
  <c r="G2291" i="1"/>
  <c r="E2292" i="1"/>
  <c r="F2292" i="1"/>
  <c r="G2292" i="1"/>
  <c r="E2293" i="1"/>
  <c r="F2293" i="1"/>
  <c r="G2293" i="1"/>
  <c r="E2294" i="1"/>
  <c r="F2294" i="1"/>
  <c r="G2294" i="1"/>
  <c r="E2295" i="1"/>
  <c r="F2295" i="1"/>
  <c r="G2295" i="1"/>
  <c r="E2296" i="1"/>
  <c r="F2296" i="1"/>
  <c r="G2296" i="1"/>
  <c r="E2297" i="1"/>
  <c r="F2297" i="1"/>
  <c r="G2297" i="1"/>
  <c r="E2298" i="1"/>
  <c r="F2298" i="1"/>
  <c r="G2298" i="1"/>
  <c r="E2299" i="1"/>
  <c r="F2299" i="1"/>
  <c r="G2299" i="1"/>
  <c r="E2300" i="1"/>
  <c r="F2300" i="1"/>
  <c r="G2300" i="1"/>
  <c r="E2301" i="1"/>
  <c r="F2301" i="1"/>
  <c r="G2301" i="1"/>
  <c r="E2302" i="1"/>
  <c r="F2302" i="1"/>
  <c r="G2302" i="1"/>
  <c r="E2303" i="1"/>
  <c r="F2303" i="1"/>
  <c r="G2303" i="1"/>
  <c r="E2304" i="1"/>
  <c r="F2304" i="1"/>
  <c r="G2304" i="1"/>
  <c r="E2305" i="1"/>
  <c r="F2305" i="1"/>
  <c r="G2305" i="1"/>
  <c r="E2306" i="1"/>
  <c r="F2306" i="1"/>
  <c r="G2306" i="1"/>
  <c r="E2307" i="1"/>
  <c r="F2307" i="1"/>
  <c r="G2307" i="1"/>
  <c r="E2308" i="1"/>
  <c r="F2308" i="1"/>
  <c r="G2308" i="1"/>
  <c r="E2309" i="1"/>
  <c r="F2309" i="1"/>
  <c r="G2309" i="1"/>
  <c r="E2310" i="1"/>
  <c r="F2310" i="1"/>
  <c r="G2310" i="1"/>
  <c r="E2311" i="1"/>
  <c r="F2311" i="1"/>
  <c r="G2311" i="1"/>
  <c r="E2312" i="1"/>
  <c r="F2312" i="1"/>
  <c r="G2312" i="1"/>
  <c r="E2313" i="1"/>
  <c r="F2313" i="1"/>
  <c r="G2313" i="1"/>
  <c r="E2314" i="1"/>
  <c r="F2314" i="1"/>
  <c r="G2314" i="1"/>
  <c r="E2315" i="1"/>
  <c r="F2315" i="1"/>
  <c r="G2315" i="1"/>
  <c r="E2316" i="1"/>
  <c r="F2316" i="1"/>
  <c r="G2316" i="1"/>
  <c r="E2317" i="1"/>
  <c r="F2317" i="1"/>
  <c r="G2317" i="1"/>
  <c r="E2318" i="1"/>
  <c r="F2318" i="1"/>
  <c r="G2318" i="1"/>
  <c r="E2319" i="1"/>
  <c r="F2319" i="1"/>
  <c r="G2319" i="1"/>
  <c r="E2320" i="1"/>
  <c r="F2320" i="1"/>
  <c r="G2320" i="1"/>
  <c r="E2321" i="1"/>
  <c r="F2321" i="1"/>
  <c r="G2321" i="1"/>
  <c r="E2322" i="1"/>
  <c r="F2322" i="1"/>
  <c r="G2322" i="1"/>
  <c r="E2323" i="1"/>
  <c r="F2323" i="1"/>
  <c r="G2323" i="1"/>
  <c r="E2324" i="1"/>
  <c r="F2324" i="1"/>
  <c r="G2324" i="1"/>
  <c r="E2325" i="1"/>
  <c r="F2325" i="1"/>
  <c r="G2325" i="1"/>
  <c r="E2326" i="1"/>
  <c r="F2326" i="1"/>
  <c r="G2326" i="1"/>
  <c r="E2327" i="1"/>
  <c r="F2327" i="1"/>
  <c r="G2327" i="1"/>
  <c r="E2328" i="1"/>
  <c r="F2328" i="1"/>
  <c r="G2328" i="1"/>
  <c r="E2329" i="1"/>
  <c r="F2329" i="1"/>
  <c r="G2329" i="1"/>
  <c r="E2330" i="1"/>
  <c r="F2330" i="1"/>
  <c r="G2330" i="1"/>
  <c r="E2331" i="1"/>
  <c r="F2331" i="1"/>
  <c r="G2331" i="1"/>
  <c r="E2332" i="1"/>
  <c r="F2332" i="1"/>
  <c r="G2332" i="1"/>
  <c r="E2333" i="1"/>
  <c r="F2333" i="1"/>
  <c r="G2333" i="1"/>
  <c r="E2334" i="1"/>
  <c r="F2334" i="1"/>
  <c r="G2334" i="1"/>
  <c r="E2335" i="1"/>
  <c r="F2335" i="1"/>
  <c r="G2335" i="1"/>
  <c r="E2336" i="1"/>
  <c r="F2336" i="1"/>
  <c r="G2336" i="1"/>
  <c r="E2337" i="1"/>
  <c r="F2337" i="1"/>
  <c r="G2337" i="1"/>
  <c r="E2338" i="1"/>
  <c r="F2338" i="1"/>
  <c r="G2338" i="1"/>
  <c r="E2339" i="1"/>
  <c r="F2339" i="1"/>
  <c r="G2339" i="1"/>
  <c r="E2340" i="1"/>
  <c r="F2340" i="1"/>
  <c r="G2340" i="1"/>
  <c r="E2341" i="1"/>
  <c r="F2341" i="1"/>
  <c r="G2341" i="1"/>
  <c r="E2342" i="1"/>
  <c r="F2342" i="1"/>
  <c r="G2342" i="1"/>
  <c r="E2343" i="1"/>
  <c r="F2343" i="1"/>
  <c r="G2343" i="1"/>
  <c r="E2344" i="1"/>
  <c r="F2344" i="1"/>
  <c r="G2344" i="1"/>
  <c r="E2345" i="1"/>
  <c r="F2345" i="1"/>
  <c r="G2345" i="1"/>
  <c r="E2346" i="1"/>
  <c r="F2346" i="1"/>
  <c r="G2346" i="1"/>
  <c r="E2347" i="1"/>
  <c r="F2347" i="1"/>
  <c r="G2347" i="1"/>
  <c r="E2348" i="1"/>
  <c r="F2348" i="1"/>
  <c r="G2348" i="1"/>
  <c r="E2349" i="1"/>
  <c r="F2349" i="1"/>
  <c r="G2349" i="1"/>
  <c r="E2350" i="1"/>
  <c r="F2350" i="1"/>
  <c r="G2350" i="1"/>
  <c r="E2351" i="1"/>
  <c r="F2351" i="1"/>
  <c r="G2351" i="1"/>
  <c r="E2352" i="1"/>
  <c r="F2352" i="1"/>
  <c r="G2352" i="1"/>
  <c r="E2353" i="1"/>
  <c r="F2353" i="1"/>
  <c r="G2353" i="1"/>
  <c r="E2354" i="1"/>
  <c r="F2354" i="1"/>
  <c r="G2354" i="1"/>
  <c r="E2355" i="1"/>
  <c r="F2355" i="1"/>
  <c r="G2355" i="1"/>
  <c r="E2356" i="1"/>
  <c r="F2356" i="1"/>
  <c r="G2356" i="1"/>
  <c r="E2357" i="1"/>
  <c r="F2357" i="1"/>
  <c r="G2357" i="1"/>
  <c r="E2358" i="1"/>
  <c r="F2358" i="1"/>
  <c r="G2358" i="1"/>
  <c r="E2359" i="1"/>
  <c r="F2359" i="1"/>
  <c r="G2359" i="1"/>
  <c r="E2360" i="1"/>
  <c r="F2360" i="1"/>
  <c r="G2360" i="1"/>
  <c r="E2361" i="1"/>
  <c r="F2361" i="1"/>
  <c r="G2361" i="1"/>
  <c r="E2362" i="1"/>
  <c r="F2362" i="1"/>
  <c r="G2362" i="1"/>
  <c r="E2363" i="1"/>
  <c r="F2363" i="1"/>
  <c r="G2363" i="1"/>
  <c r="E2364" i="1"/>
  <c r="F2364" i="1"/>
  <c r="G2364" i="1"/>
  <c r="E2365" i="1"/>
  <c r="F2365" i="1"/>
  <c r="G2365" i="1"/>
  <c r="E2366" i="1"/>
  <c r="F2366" i="1"/>
  <c r="G2366" i="1"/>
  <c r="E2367" i="1"/>
  <c r="F2367" i="1"/>
  <c r="G2367" i="1"/>
  <c r="E2368" i="1"/>
  <c r="F2368" i="1"/>
  <c r="G2368" i="1"/>
  <c r="E2369" i="1"/>
  <c r="F2369" i="1"/>
  <c r="G2369" i="1"/>
  <c r="E2370" i="1"/>
  <c r="F2370" i="1"/>
  <c r="G2370" i="1"/>
  <c r="E2371" i="1"/>
  <c r="F2371" i="1"/>
  <c r="G2371" i="1"/>
  <c r="E2372" i="1"/>
  <c r="F2372" i="1"/>
  <c r="G2372" i="1"/>
  <c r="E2373" i="1"/>
  <c r="F2373" i="1"/>
  <c r="G2373" i="1"/>
  <c r="E2374" i="1"/>
  <c r="F2374" i="1"/>
  <c r="G2374" i="1"/>
  <c r="E2375" i="1"/>
  <c r="F2375" i="1"/>
  <c r="G2375" i="1"/>
  <c r="E2376" i="1"/>
  <c r="F2376" i="1"/>
  <c r="G2376" i="1"/>
  <c r="E2377" i="1"/>
  <c r="F2377" i="1"/>
  <c r="G2377" i="1"/>
  <c r="E2378" i="1"/>
  <c r="F2378" i="1"/>
  <c r="G2378" i="1"/>
  <c r="E2379" i="1"/>
  <c r="F2379" i="1"/>
  <c r="G2379" i="1"/>
  <c r="E2380" i="1"/>
  <c r="F2380" i="1"/>
  <c r="G2380" i="1"/>
  <c r="E2381" i="1"/>
  <c r="F2381" i="1"/>
  <c r="G2381" i="1"/>
  <c r="E2382" i="1"/>
  <c r="F2382" i="1"/>
  <c r="G2382" i="1"/>
  <c r="E2383" i="1"/>
  <c r="F2383" i="1"/>
  <c r="G2383" i="1"/>
  <c r="E2384" i="1"/>
  <c r="F2384" i="1"/>
  <c r="G2384" i="1"/>
  <c r="E2385" i="1"/>
  <c r="F2385" i="1"/>
  <c r="G2385" i="1"/>
  <c r="E2386" i="1"/>
  <c r="F2386" i="1"/>
  <c r="G2386" i="1"/>
  <c r="E2387" i="1"/>
  <c r="F2387" i="1"/>
  <c r="G2387" i="1"/>
  <c r="E2388" i="1"/>
  <c r="F2388" i="1"/>
  <c r="G2388" i="1"/>
  <c r="E2389" i="1"/>
  <c r="F2389" i="1"/>
  <c r="G2389" i="1"/>
  <c r="E2390" i="1"/>
  <c r="F2390" i="1"/>
  <c r="G2390" i="1"/>
  <c r="E2391" i="1"/>
  <c r="F2391" i="1"/>
  <c r="G2391" i="1"/>
  <c r="E2392" i="1"/>
  <c r="F2392" i="1"/>
  <c r="G2392" i="1"/>
  <c r="E2393" i="1"/>
  <c r="F2393" i="1"/>
  <c r="G2393" i="1"/>
  <c r="E2394" i="1"/>
  <c r="F2394" i="1"/>
  <c r="G2394" i="1"/>
  <c r="E2395" i="1"/>
  <c r="F2395" i="1"/>
  <c r="G2395" i="1"/>
  <c r="E2396" i="1"/>
  <c r="F2396" i="1"/>
  <c r="G2396" i="1"/>
  <c r="E2397" i="1"/>
  <c r="F2397" i="1"/>
  <c r="G2397" i="1"/>
  <c r="E2398" i="1"/>
  <c r="F2398" i="1"/>
  <c r="G2398" i="1"/>
  <c r="E2399" i="1"/>
  <c r="F2399" i="1"/>
  <c r="G2399" i="1"/>
  <c r="E2400" i="1"/>
  <c r="F2400" i="1"/>
  <c r="G2400" i="1"/>
  <c r="E2401" i="1"/>
  <c r="F2401" i="1"/>
  <c r="G2401" i="1"/>
  <c r="E2402" i="1"/>
  <c r="F2402" i="1"/>
  <c r="G2402" i="1"/>
  <c r="E2403" i="1"/>
  <c r="F2403" i="1"/>
  <c r="G2403" i="1"/>
  <c r="E2404" i="1"/>
  <c r="F2404" i="1"/>
  <c r="G2404" i="1"/>
  <c r="E2405" i="1"/>
  <c r="F2405" i="1"/>
  <c r="G2405" i="1"/>
  <c r="E2406" i="1"/>
  <c r="F2406" i="1"/>
  <c r="G2406" i="1"/>
  <c r="E2407" i="1"/>
  <c r="F2407" i="1"/>
  <c r="G2407" i="1"/>
  <c r="E2408" i="1"/>
  <c r="F2408" i="1"/>
  <c r="G2408" i="1"/>
  <c r="E2409" i="1"/>
  <c r="F2409" i="1"/>
  <c r="G2409" i="1"/>
  <c r="E2410" i="1"/>
  <c r="F2410" i="1"/>
  <c r="G2410" i="1"/>
  <c r="E2411" i="1"/>
  <c r="F2411" i="1"/>
  <c r="G2411" i="1"/>
  <c r="E2412" i="1"/>
  <c r="F2412" i="1"/>
  <c r="G2412" i="1"/>
  <c r="E2413" i="1"/>
  <c r="F2413" i="1"/>
  <c r="G2413" i="1"/>
  <c r="E2414" i="1"/>
  <c r="F2414" i="1"/>
  <c r="G2414" i="1"/>
  <c r="E2415" i="1"/>
  <c r="F2415" i="1"/>
  <c r="G2415" i="1"/>
  <c r="E2416" i="1"/>
  <c r="F2416" i="1"/>
  <c r="G2416" i="1"/>
  <c r="E2417" i="1"/>
  <c r="F2417" i="1"/>
  <c r="G2417" i="1"/>
  <c r="E2418" i="1"/>
  <c r="F2418" i="1"/>
  <c r="G2418" i="1"/>
  <c r="E2419" i="1"/>
  <c r="F2419" i="1"/>
  <c r="G2419" i="1"/>
  <c r="E2420" i="1"/>
  <c r="F2420" i="1"/>
  <c r="G2420" i="1"/>
  <c r="E2421" i="1"/>
  <c r="F2421" i="1"/>
  <c r="G2421" i="1"/>
  <c r="E2422" i="1"/>
  <c r="F2422" i="1"/>
  <c r="G2422" i="1"/>
  <c r="E2423" i="1"/>
  <c r="F2423" i="1"/>
  <c r="G2423" i="1"/>
  <c r="E2424" i="1"/>
  <c r="F2424" i="1"/>
  <c r="G2424" i="1"/>
  <c r="E2425" i="1"/>
  <c r="F2425" i="1"/>
  <c r="G2425" i="1"/>
  <c r="E2426" i="1"/>
  <c r="F2426" i="1"/>
  <c r="G2426" i="1"/>
  <c r="E2427" i="1"/>
  <c r="F2427" i="1"/>
  <c r="G2427" i="1"/>
  <c r="E2428" i="1"/>
  <c r="F2428" i="1"/>
  <c r="G2428" i="1"/>
  <c r="E2429" i="1"/>
  <c r="F2429" i="1"/>
  <c r="G2429" i="1"/>
  <c r="E2430" i="1"/>
  <c r="F2430" i="1"/>
  <c r="G2430" i="1"/>
  <c r="E2431" i="1"/>
  <c r="F2431" i="1"/>
  <c r="G2431" i="1"/>
  <c r="E2432" i="1"/>
  <c r="F2432" i="1"/>
  <c r="G2432" i="1"/>
  <c r="E2433" i="1"/>
  <c r="F2433" i="1"/>
  <c r="G2433" i="1"/>
  <c r="E2434" i="1"/>
  <c r="F2434" i="1"/>
  <c r="G2434" i="1"/>
  <c r="E2435" i="1"/>
  <c r="F2435" i="1"/>
  <c r="G2435" i="1"/>
  <c r="E2436" i="1"/>
  <c r="F2436" i="1"/>
  <c r="G2436" i="1"/>
  <c r="E2437" i="1"/>
  <c r="F2437" i="1"/>
  <c r="G2437" i="1"/>
  <c r="E2438" i="1"/>
  <c r="F2438" i="1"/>
  <c r="G2438" i="1"/>
  <c r="E2439" i="1"/>
  <c r="F2439" i="1"/>
  <c r="G2439" i="1"/>
  <c r="E2440" i="1"/>
  <c r="F2440" i="1"/>
  <c r="G2440" i="1"/>
  <c r="E2441" i="1"/>
  <c r="F2441" i="1"/>
  <c r="G2441" i="1"/>
  <c r="E2442" i="1"/>
  <c r="F2442" i="1"/>
  <c r="G2442" i="1"/>
  <c r="E2443" i="1"/>
  <c r="F2443" i="1"/>
  <c r="G2443" i="1"/>
  <c r="E2444" i="1"/>
  <c r="F2444" i="1"/>
  <c r="G2444" i="1"/>
  <c r="E2445" i="1"/>
  <c r="F2445" i="1"/>
  <c r="G2445" i="1"/>
  <c r="E2446" i="1"/>
  <c r="F2446" i="1"/>
  <c r="G2446" i="1"/>
  <c r="E2447" i="1"/>
  <c r="F2447" i="1"/>
  <c r="G2447" i="1"/>
  <c r="E2448" i="1"/>
  <c r="F2448" i="1"/>
  <c r="G2448" i="1"/>
  <c r="E2449" i="1"/>
  <c r="F2449" i="1"/>
  <c r="G2449" i="1"/>
  <c r="E2450" i="1"/>
  <c r="F2450" i="1"/>
  <c r="G2450" i="1"/>
  <c r="E2451" i="1"/>
  <c r="F2451" i="1"/>
  <c r="G2451" i="1"/>
  <c r="E2452" i="1"/>
  <c r="F2452" i="1"/>
  <c r="G2452" i="1"/>
  <c r="E2453" i="1"/>
  <c r="F2453" i="1"/>
  <c r="G2453" i="1"/>
  <c r="E2454" i="1"/>
  <c r="F2454" i="1"/>
  <c r="G2454" i="1"/>
  <c r="E2455" i="1"/>
  <c r="F2455" i="1"/>
  <c r="G2455" i="1"/>
  <c r="E2456" i="1"/>
  <c r="F2456" i="1"/>
  <c r="G2456" i="1"/>
  <c r="E2457" i="1"/>
  <c r="F2457" i="1"/>
  <c r="G2457" i="1"/>
  <c r="E2458" i="1"/>
  <c r="F2458" i="1"/>
  <c r="G2458" i="1"/>
  <c r="E2459" i="1"/>
  <c r="F2459" i="1"/>
  <c r="G2459" i="1"/>
  <c r="E2460" i="1"/>
  <c r="F2460" i="1"/>
  <c r="G2460" i="1"/>
  <c r="E2461" i="1"/>
  <c r="F2461" i="1"/>
  <c r="G2461" i="1"/>
  <c r="E2462" i="1"/>
  <c r="F2462" i="1"/>
  <c r="G2462" i="1"/>
  <c r="E2463" i="1"/>
  <c r="F2463" i="1"/>
  <c r="G2463" i="1"/>
  <c r="E2464" i="1"/>
  <c r="F2464" i="1"/>
  <c r="G2464" i="1"/>
  <c r="E2465" i="1"/>
  <c r="F2465" i="1"/>
  <c r="G2465" i="1"/>
  <c r="E2466" i="1"/>
  <c r="F2466" i="1"/>
  <c r="G2466" i="1"/>
  <c r="E2467" i="1"/>
  <c r="F2467" i="1"/>
  <c r="G2467" i="1"/>
  <c r="E2468" i="1"/>
  <c r="F2468" i="1"/>
  <c r="G2468" i="1"/>
  <c r="E2469" i="1"/>
  <c r="F2469" i="1"/>
  <c r="G2469" i="1"/>
  <c r="E2470" i="1"/>
  <c r="F2470" i="1"/>
  <c r="G2470" i="1"/>
  <c r="E2471" i="1"/>
  <c r="F2471" i="1"/>
  <c r="G2471" i="1"/>
  <c r="E2472" i="1"/>
  <c r="F2472" i="1"/>
  <c r="G2472" i="1"/>
  <c r="E2473" i="1"/>
  <c r="F2473" i="1"/>
  <c r="G2473" i="1"/>
  <c r="E2474" i="1"/>
  <c r="F2474" i="1"/>
  <c r="G2474" i="1"/>
  <c r="E2475" i="1"/>
  <c r="F2475" i="1"/>
  <c r="G2475" i="1"/>
  <c r="E2476" i="1"/>
  <c r="F2476" i="1"/>
  <c r="G2476" i="1"/>
  <c r="E2477" i="1"/>
  <c r="F2477" i="1"/>
  <c r="G2477" i="1"/>
  <c r="E2478" i="1"/>
  <c r="F2478" i="1"/>
  <c r="G2478" i="1"/>
  <c r="E2479" i="1"/>
  <c r="F2479" i="1"/>
  <c r="G2479" i="1"/>
  <c r="E2480" i="1"/>
  <c r="F2480" i="1"/>
  <c r="G2480" i="1"/>
  <c r="E2481" i="1"/>
  <c r="F2481" i="1"/>
  <c r="G2481" i="1"/>
  <c r="E2482" i="1"/>
  <c r="F2482" i="1"/>
  <c r="G2482" i="1"/>
  <c r="E2483" i="1"/>
  <c r="F2483" i="1"/>
  <c r="G2483" i="1"/>
  <c r="E2484" i="1"/>
  <c r="F2484" i="1"/>
  <c r="G2484" i="1"/>
  <c r="E2485" i="1"/>
  <c r="F2485" i="1"/>
  <c r="G2485" i="1"/>
  <c r="E2486" i="1"/>
  <c r="F2486" i="1"/>
  <c r="G2486" i="1"/>
  <c r="E2487" i="1"/>
  <c r="F2487" i="1"/>
  <c r="G2487" i="1"/>
  <c r="E2488" i="1"/>
  <c r="F2488" i="1"/>
  <c r="G2488" i="1"/>
  <c r="E2489" i="1"/>
  <c r="F2489" i="1"/>
  <c r="G2489" i="1"/>
  <c r="E2490" i="1"/>
  <c r="F2490" i="1"/>
  <c r="G2490" i="1"/>
  <c r="E2491" i="1"/>
  <c r="F2491" i="1"/>
  <c r="G2491" i="1"/>
  <c r="E2492" i="1"/>
  <c r="F2492" i="1"/>
  <c r="G2492" i="1"/>
  <c r="E2493" i="1"/>
  <c r="F2493" i="1"/>
  <c r="G2493" i="1"/>
  <c r="E2494" i="1"/>
  <c r="F2494" i="1"/>
  <c r="G2494" i="1"/>
  <c r="E2495" i="1"/>
  <c r="F2495" i="1"/>
  <c r="G2495" i="1"/>
  <c r="E2496" i="1"/>
  <c r="F2496" i="1"/>
  <c r="G2496" i="1"/>
  <c r="E2497" i="1"/>
  <c r="F2497" i="1"/>
  <c r="G2497" i="1"/>
  <c r="E2498" i="1"/>
  <c r="F2498" i="1"/>
  <c r="G2498" i="1"/>
  <c r="E2499" i="1"/>
  <c r="F2499" i="1"/>
  <c r="G2499" i="1"/>
  <c r="E2500" i="1"/>
  <c r="F2500" i="1"/>
  <c r="G2500" i="1"/>
  <c r="E2501" i="1"/>
  <c r="F2501" i="1"/>
  <c r="G2501" i="1"/>
  <c r="E2502" i="1"/>
  <c r="F2502" i="1"/>
  <c r="G2502" i="1"/>
  <c r="E2503" i="1"/>
  <c r="F2503" i="1"/>
  <c r="G2503" i="1"/>
  <c r="E2504" i="1"/>
  <c r="F2504" i="1"/>
  <c r="G2504" i="1"/>
  <c r="E2505" i="1"/>
  <c r="F2505" i="1"/>
  <c r="G2505" i="1"/>
  <c r="E2506" i="1"/>
  <c r="F2506" i="1"/>
  <c r="G2506" i="1"/>
  <c r="E2507" i="1"/>
  <c r="F2507" i="1"/>
  <c r="G2507" i="1"/>
  <c r="E2508" i="1"/>
  <c r="F2508" i="1"/>
  <c r="G2508" i="1"/>
  <c r="E2509" i="1"/>
  <c r="F2509" i="1"/>
  <c r="G2509" i="1"/>
  <c r="E2510" i="1"/>
  <c r="F2510" i="1"/>
  <c r="G2510" i="1"/>
  <c r="E2511" i="1"/>
  <c r="F2511" i="1"/>
  <c r="G2511" i="1"/>
  <c r="E2512" i="1"/>
  <c r="F2512" i="1"/>
  <c r="G2512" i="1"/>
  <c r="E2513" i="1"/>
  <c r="F2513" i="1"/>
  <c r="G2513" i="1"/>
  <c r="E2514" i="1"/>
  <c r="F2514" i="1"/>
  <c r="G2514" i="1"/>
  <c r="E2515" i="1"/>
  <c r="F2515" i="1"/>
  <c r="G2515" i="1"/>
  <c r="E2516" i="1"/>
  <c r="F2516" i="1"/>
  <c r="G2516" i="1"/>
  <c r="E2517" i="1"/>
  <c r="F2517" i="1"/>
  <c r="G2517" i="1"/>
  <c r="E2518" i="1"/>
  <c r="F2518" i="1"/>
  <c r="G2518" i="1"/>
  <c r="E2519" i="1"/>
  <c r="F2519" i="1"/>
  <c r="G2519" i="1"/>
  <c r="E2520" i="1"/>
  <c r="F2520" i="1"/>
  <c r="G2520" i="1"/>
  <c r="E2521" i="1"/>
  <c r="F2521" i="1"/>
  <c r="G2521" i="1"/>
  <c r="E2522" i="1"/>
  <c r="F2522" i="1"/>
  <c r="G2522" i="1"/>
  <c r="E2523" i="1"/>
  <c r="F2523" i="1"/>
  <c r="G2523" i="1"/>
  <c r="E2524" i="1"/>
  <c r="F2524" i="1"/>
  <c r="G2524" i="1"/>
  <c r="E2525" i="1"/>
  <c r="F2525" i="1"/>
  <c r="G2525" i="1"/>
  <c r="E2526" i="1"/>
  <c r="F2526" i="1"/>
  <c r="G2526" i="1"/>
  <c r="E2527" i="1"/>
  <c r="F2527" i="1"/>
  <c r="G2527" i="1"/>
  <c r="E2528" i="1"/>
  <c r="F2528" i="1"/>
  <c r="G2528" i="1"/>
  <c r="E2529" i="1"/>
  <c r="F2529" i="1"/>
  <c r="G2529" i="1"/>
  <c r="E2530" i="1"/>
  <c r="F2530" i="1"/>
  <c r="G2530" i="1"/>
  <c r="E2531" i="1"/>
  <c r="F2531" i="1"/>
  <c r="G2531" i="1"/>
  <c r="E2532" i="1"/>
  <c r="F2532" i="1"/>
  <c r="G2532" i="1"/>
  <c r="E2533" i="1"/>
  <c r="F2533" i="1"/>
  <c r="G2533" i="1"/>
  <c r="E2534" i="1"/>
  <c r="F2534" i="1"/>
  <c r="G2534" i="1"/>
  <c r="E2535" i="1"/>
  <c r="F2535" i="1"/>
  <c r="G2535" i="1"/>
  <c r="E2536" i="1"/>
  <c r="F2536" i="1"/>
  <c r="G2536" i="1"/>
  <c r="E2537" i="1"/>
  <c r="F2537" i="1"/>
  <c r="G2537" i="1"/>
  <c r="E2538" i="1"/>
  <c r="F2538" i="1"/>
  <c r="G2538" i="1"/>
  <c r="E2539" i="1"/>
  <c r="F2539" i="1"/>
  <c r="G2539" i="1"/>
  <c r="E2540" i="1"/>
  <c r="F2540" i="1"/>
  <c r="G2540" i="1"/>
  <c r="E2541" i="1"/>
  <c r="F2541" i="1"/>
  <c r="G2541" i="1"/>
  <c r="E2542" i="1"/>
  <c r="F2542" i="1"/>
  <c r="G2542" i="1"/>
  <c r="E2543" i="1"/>
  <c r="F2543" i="1"/>
  <c r="G2543" i="1"/>
  <c r="E2544" i="1"/>
  <c r="F2544" i="1"/>
  <c r="G2544" i="1"/>
  <c r="E2545" i="1"/>
  <c r="F2545" i="1"/>
  <c r="G2545" i="1"/>
  <c r="E2546" i="1"/>
  <c r="F2546" i="1"/>
  <c r="G2546" i="1"/>
  <c r="E2547" i="1"/>
  <c r="F2547" i="1"/>
  <c r="G2547" i="1"/>
  <c r="E2548" i="1"/>
  <c r="F2548" i="1"/>
  <c r="G2548" i="1"/>
  <c r="E2549" i="1"/>
  <c r="F2549" i="1"/>
  <c r="G2549" i="1"/>
  <c r="E2550" i="1"/>
  <c r="F2550" i="1"/>
  <c r="G2550" i="1"/>
  <c r="E2551" i="1"/>
  <c r="F2551" i="1"/>
  <c r="G2551" i="1"/>
  <c r="E2552" i="1"/>
  <c r="F2552" i="1"/>
  <c r="G2552" i="1"/>
  <c r="E2553" i="1"/>
  <c r="F2553" i="1"/>
  <c r="G2553" i="1"/>
  <c r="E2554" i="1"/>
  <c r="F2554" i="1"/>
  <c r="G2554" i="1"/>
  <c r="E2555" i="1"/>
  <c r="F2555" i="1"/>
  <c r="G2555" i="1"/>
  <c r="E2556" i="1"/>
  <c r="F2556" i="1"/>
  <c r="G2556" i="1"/>
  <c r="E2557" i="1"/>
  <c r="F2557" i="1"/>
  <c r="G2557" i="1"/>
  <c r="E2558" i="1"/>
  <c r="F2558" i="1"/>
  <c r="G2558" i="1"/>
  <c r="E2559" i="1"/>
  <c r="F2559" i="1"/>
  <c r="G2559" i="1"/>
  <c r="E2560" i="1"/>
  <c r="F2560" i="1"/>
  <c r="G2560" i="1"/>
  <c r="E2561" i="1"/>
  <c r="F2561" i="1"/>
  <c r="G2561" i="1"/>
  <c r="E2562" i="1"/>
  <c r="F2562" i="1"/>
  <c r="G2562" i="1"/>
  <c r="E2563" i="1"/>
  <c r="F2563" i="1"/>
  <c r="G2563" i="1"/>
  <c r="E2564" i="1"/>
  <c r="F2564" i="1"/>
  <c r="G2564" i="1"/>
  <c r="E2565" i="1"/>
  <c r="F2565" i="1"/>
  <c r="G2565" i="1"/>
  <c r="E2566" i="1"/>
  <c r="F2566" i="1"/>
  <c r="G2566" i="1"/>
  <c r="E2567" i="1"/>
  <c r="F2567" i="1"/>
  <c r="G2567" i="1"/>
  <c r="E2568" i="1"/>
  <c r="F2568" i="1"/>
  <c r="G2568" i="1"/>
  <c r="E2569" i="1"/>
  <c r="F2569" i="1"/>
  <c r="G2569" i="1"/>
  <c r="E2570" i="1"/>
  <c r="F2570" i="1"/>
  <c r="G2570" i="1"/>
  <c r="E2571" i="1"/>
  <c r="F2571" i="1"/>
  <c r="G2571" i="1"/>
  <c r="E2572" i="1"/>
  <c r="F2572" i="1"/>
  <c r="G2572" i="1"/>
  <c r="E2573" i="1"/>
  <c r="F2573" i="1"/>
  <c r="G2573" i="1"/>
  <c r="E2574" i="1"/>
  <c r="F2574" i="1"/>
  <c r="G2574" i="1"/>
  <c r="E2575" i="1"/>
  <c r="F2575" i="1"/>
  <c r="G2575" i="1"/>
  <c r="E2576" i="1"/>
  <c r="F2576" i="1"/>
  <c r="G2576" i="1"/>
  <c r="E2577" i="1"/>
  <c r="F2577" i="1"/>
  <c r="G2577" i="1"/>
  <c r="E2578" i="1"/>
  <c r="F2578" i="1"/>
  <c r="G2578" i="1"/>
  <c r="E2579" i="1"/>
  <c r="F2579" i="1"/>
  <c r="G2579" i="1"/>
  <c r="E2580" i="1"/>
  <c r="F2580" i="1"/>
  <c r="G2580" i="1"/>
  <c r="E2581" i="1"/>
  <c r="F2581" i="1"/>
  <c r="G2581" i="1"/>
  <c r="E2582" i="1"/>
  <c r="F2582" i="1"/>
  <c r="G2582" i="1"/>
  <c r="E2583" i="1"/>
  <c r="F2583" i="1"/>
  <c r="G2583" i="1"/>
  <c r="E2584" i="1"/>
  <c r="F2584" i="1"/>
  <c r="G2584" i="1"/>
  <c r="E2585" i="1"/>
  <c r="F2585" i="1"/>
  <c r="G2585" i="1"/>
  <c r="E2586" i="1"/>
  <c r="F2586" i="1"/>
  <c r="G2586" i="1"/>
  <c r="E2587" i="1"/>
  <c r="F2587" i="1"/>
  <c r="G2587" i="1"/>
  <c r="E2588" i="1"/>
  <c r="F2588" i="1"/>
  <c r="G2588" i="1"/>
  <c r="E2589" i="1"/>
  <c r="F2589" i="1"/>
  <c r="G2589" i="1"/>
  <c r="E2590" i="1"/>
  <c r="F2590" i="1"/>
  <c r="G2590" i="1"/>
  <c r="E2591" i="1"/>
  <c r="F2591" i="1"/>
  <c r="G2591" i="1"/>
  <c r="E2592" i="1"/>
  <c r="F2592" i="1"/>
  <c r="G2592" i="1"/>
  <c r="E2593" i="1"/>
  <c r="F2593" i="1"/>
  <c r="G2593" i="1"/>
  <c r="E2594" i="1"/>
  <c r="F2594" i="1"/>
  <c r="G2594" i="1"/>
  <c r="E2595" i="1"/>
  <c r="F2595" i="1"/>
  <c r="G2595" i="1"/>
  <c r="E2596" i="1"/>
  <c r="F2596" i="1"/>
  <c r="G2596" i="1"/>
  <c r="E2597" i="1"/>
  <c r="F2597" i="1"/>
  <c r="G2597" i="1"/>
  <c r="E2598" i="1"/>
  <c r="F2598" i="1"/>
  <c r="G2598" i="1"/>
  <c r="E2599" i="1"/>
  <c r="F2599" i="1"/>
  <c r="G2599" i="1"/>
  <c r="E2600" i="1"/>
  <c r="F2600" i="1"/>
  <c r="G2600" i="1"/>
  <c r="E2601" i="1"/>
  <c r="F2601" i="1"/>
  <c r="G2601" i="1"/>
  <c r="E2602" i="1"/>
  <c r="F2602" i="1"/>
  <c r="G2602" i="1"/>
  <c r="E2603" i="1"/>
  <c r="F2603" i="1"/>
  <c r="G2603" i="1"/>
  <c r="E2604" i="1"/>
  <c r="F2604" i="1"/>
  <c r="G2604" i="1"/>
  <c r="E2605" i="1"/>
  <c r="F2605" i="1"/>
  <c r="G2605" i="1"/>
  <c r="E2606" i="1"/>
  <c r="F2606" i="1"/>
  <c r="G2606" i="1"/>
  <c r="E2607" i="1"/>
  <c r="F2607" i="1"/>
  <c r="G2607" i="1"/>
  <c r="E2608" i="1"/>
  <c r="F2608" i="1"/>
  <c r="G2608" i="1"/>
  <c r="E2609" i="1"/>
  <c r="F2609" i="1"/>
  <c r="G2609" i="1"/>
  <c r="E2610" i="1"/>
  <c r="F2610" i="1"/>
  <c r="G2610" i="1"/>
  <c r="E2611" i="1"/>
  <c r="F2611" i="1"/>
  <c r="G2611" i="1"/>
  <c r="E2612" i="1"/>
  <c r="F2612" i="1"/>
  <c r="G2612" i="1"/>
  <c r="E2613" i="1"/>
  <c r="F2613" i="1"/>
  <c r="G2613" i="1"/>
  <c r="E2614" i="1"/>
  <c r="F2614" i="1"/>
  <c r="G2614" i="1"/>
  <c r="E2615" i="1"/>
  <c r="F2615" i="1"/>
  <c r="G2615" i="1"/>
  <c r="E2616" i="1"/>
  <c r="F2616" i="1"/>
  <c r="G2616" i="1"/>
  <c r="E2617" i="1"/>
  <c r="F2617" i="1"/>
  <c r="G2617" i="1"/>
  <c r="E2618" i="1"/>
  <c r="F2618" i="1"/>
  <c r="G2618" i="1"/>
  <c r="E2619" i="1"/>
  <c r="F2619" i="1"/>
  <c r="G2619" i="1"/>
  <c r="E2620" i="1"/>
  <c r="F2620" i="1"/>
  <c r="G2620" i="1"/>
  <c r="E2621" i="1"/>
  <c r="F2621" i="1"/>
  <c r="G2621" i="1"/>
  <c r="E2622" i="1"/>
  <c r="F2622" i="1"/>
  <c r="G2622" i="1"/>
  <c r="E2623" i="1"/>
  <c r="F2623" i="1"/>
  <c r="G2623" i="1"/>
  <c r="E2624" i="1"/>
  <c r="F2624" i="1"/>
  <c r="G2624" i="1"/>
  <c r="E2625" i="1"/>
  <c r="F2625" i="1"/>
  <c r="G2625" i="1"/>
  <c r="E2626" i="1"/>
  <c r="F2626" i="1"/>
  <c r="G2626" i="1"/>
  <c r="E2627" i="1"/>
  <c r="F2627" i="1"/>
  <c r="G2627" i="1"/>
  <c r="E2628" i="1"/>
  <c r="F2628" i="1"/>
  <c r="G2628" i="1"/>
  <c r="E2629" i="1"/>
  <c r="F2629" i="1"/>
  <c r="G2629" i="1"/>
  <c r="E2630" i="1"/>
  <c r="F2630" i="1"/>
  <c r="G2630" i="1"/>
  <c r="E2631" i="1"/>
  <c r="F2631" i="1"/>
  <c r="G2631" i="1"/>
  <c r="E2632" i="1"/>
  <c r="F2632" i="1"/>
  <c r="G2632" i="1"/>
  <c r="E2633" i="1"/>
  <c r="F2633" i="1"/>
  <c r="G2633" i="1"/>
  <c r="E2634" i="1"/>
  <c r="F2634" i="1"/>
  <c r="G2634" i="1"/>
  <c r="E2635" i="1"/>
  <c r="F2635" i="1"/>
  <c r="G2635" i="1"/>
  <c r="E2636" i="1"/>
  <c r="F2636" i="1"/>
  <c r="G2636" i="1"/>
  <c r="E2637" i="1"/>
  <c r="F2637" i="1"/>
  <c r="G2637" i="1"/>
  <c r="E2638" i="1"/>
  <c r="F2638" i="1"/>
  <c r="G2638" i="1"/>
  <c r="E2639" i="1"/>
  <c r="F2639" i="1"/>
  <c r="G2639" i="1"/>
  <c r="E2640" i="1"/>
  <c r="F2640" i="1"/>
  <c r="G2640" i="1"/>
  <c r="E2641" i="1"/>
  <c r="F2641" i="1"/>
  <c r="G2641" i="1"/>
  <c r="E2642" i="1"/>
  <c r="F2642" i="1"/>
  <c r="G2642" i="1"/>
  <c r="E2643" i="1"/>
  <c r="F2643" i="1"/>
  <c r="G2643" i="1"/>
  <c r="E2644" i="1"/>
  <c r="F2644" i="1"/>
  <c r="G2644" i="1"/>
  <c r="E2645" i="1"/>
  <c r="F2645" i="1"/>
  <c r="G2645" i="1"/>
  <c r="E2646" i="1"/>
  <c r="F2646" i="1"/>
  <c r="G2646" i="1"/>
  <c r="E2647" i="1"/>
  <c r="F2647" i="1"/>
  <c r="G2647" i="1"/>
  <c r="E2648" i="1"/>
  <c r="F2648" i="1"/>
  <c r="G2648" i="1"/>
  <c r="E2649" i="1"/>
  <c r="F2649" i="1"/>
  <c r="G2649" i="1"/>
  <c r="E2650" i="1"/>
  <c r="F2650" i="1"/>
  <c r="G2650" i="1"/>
  <c r="E2651" i="1"/>
  <c r="F2651" i="1"/>
  <c r="G2651" i="1"/>
  <c r="E2652" i="1"/>
  <c r="F2652" i="1"/>
  <c r="G2652" i="1"/>
  <c r="E2653" i="1"/>
  <c r="F2653" i="1"/>
  <c r="G2653" i="1"/>
  <c r="E2654" i="1"/>
  <c r="F2654" i="1"/>
  <c r="G2654" i="1"/>
  <c r="E2655" i="1"/>
  <c r="F2655" i="1"/>
  <c r="G2655" i="1"/>
  <c r="E2656" i="1"/>
  <c r="F2656" i="1"/>
  <c r="G2656" i="1"/>
  <c r="E2657" i="1"/>
  <c r="F2657" i="1"/>
  <c r="G2657" i="1"/>
  <c r="E2658" i="1"/>
  <c r="F2658" i="1"/>
  <c r="G2658" i="1"/>
  <c r="E2659" i="1"/>
  <c r="F2659" i="1"/>
  <c r="G2659" i="1"/>
  <c r="E2660" i="1"/>
  <c r="F2660" i="1"/>
  <c r="G2660" i="1"/>
  <c r="E2661" i="1"/>
  <c r="F2661" i="1"/>
  <c r="G2661" i="1"/>
  <c r="E2662" i="1"/>
  <c r="F2662" i="1"/>
  <c r="G2662" i="1"/>
  <c r="E2663" i="1"/>
  <c r="F2663" i="1"/>
  <c r="G2663" i="1"/>
  <c r="E2664" i="1"/>
  <c r="F2664" i="1"/>
  <c r="G2664" i="1"/>
  <c r="E2665" i="1"/>
  <c r="F2665" i="1"/>
  <c r="G2665" i="1"/>
  <c r="E2666" i="1"/>
  <c r="F2666" i="1"/>
  <c r="G2666" i="1"/>
  <c r="E2667" i="1"/>
  <c r="F2667" i="1"/>
  <c r="G2667" i="1"/>
  <c r="E2668" i="1"/>
  <c r="F2668" i="1"/>
  <c r="G2668" i="1"/>
  <c r="E2669" i="1"/>
  <c r="F2669" i="1"/>
  <c r="G2669" i="1"/>
  <c r="E2670" i="1"/>
  <c r="F2670" i="1"/>
  <c r="G2670" i="1"/>
  <c r="E2671" i="1"/>
  <c r="F2671" i="1"/>
  <c r="G2671" i="1"/>
  <c r="E2672" i="1"/>
  <c r="F2672" i="1"/>
  <c r="G2672" i="1"/>
  <c r="E2673" i="1"/>
  <c r="F2673" i="1"/>
  <c r="G2673" i="1"/>
  <c r="E2674" i="1"/>
  <c r="F2674" i="1"/>
  <c r="G2674" i="1"/>
  <c r="E2675" i="1"/>
  <c r="F2675" i="1"/>
  <c r="G2675" i="1"/>
  <c r="E2676" i="1"/>
  <c r="F2676" i="1"/>
  <c r="G2676" i="1"/>
  <c r="E2677" i="1"/>
  <c r="F2677" i="1"/>
  <c r="G2677" i="1"/>
  <c r="E2678" i="1"/>
  <c r="F2678" i="1"/>
  <c r="G2678" i="1"/>
  <c r="E2679" i="1"/>
  <c r="F2679" i="1"/>
  <c r="G2679" i="1"/>
  <c r="E2680" i="1"/>
  <c r="F2680" i="1"/>
  <c r="G2680" i="1"/>
  <c r="E2681" i="1"/>
  <c r="F2681" i="1"/>
  <c r="G2681" i="1"/>
  <c r="E2682" i="1"/>
  <c r="F2682" i="1"/>
  <c r="G2682" i="1"/>
  <c r="E2683" i="1"/>
  <c r="F2683" i="1"/>
  <c r="G2683" i="1"/>
  <c r="E2684" i="1"/>
  <c r="F2684" i="1"/>
  <c r="G2684" i="1"/>
  <c r="E2685" i="1"/>
  <c r="F2685" i="1"/>
  <c r="G2685" i="1"/>
  <c r="E2686" i="1"/>
  <c r="F2686" i="1"/>
  <c r="G2686" i="1"/>
  <c r="E2687" i="1"/>
  <c r="F2687" i="1"/>
  <c r="G2687" i="1"/>
  <c r="E2688" i="1"/>
  <c r="F2688" i="1"/>
  <c r="G2688" i="1"/>
  <c r="E2689" i="1"/>
  <c r="F2689" i="1"/>
  <c r="G2689" i="1"/>
  <c r="E2690" i="1"/>
  <c r="F2690" i="1"/>
  <c r="G2690" i="1"/>
  <c r="E2691" i="1"/>
  <c r="F2691" i="1"/>
  <c r="G2691" i="1"/>
  <c r="E2692" i="1"/>
  <c r="F2692" i="1"/>
  <c r="G2692" i="1"/>
  <c r="E2693" i="1"/>
  <c r="F2693" i="1"/>
  <c r="G2693" i="1"/>
  <c r="E2694" i="1"/>
  <c r="F2694" i="1"/>
  <c r="G2694" i="1"/>
  <c r="E2695" i="1"/>
  <c r="F2695" i="1"/>
  <c r="G2695" i="1"/>
  <c r="E2696" i="1"/>
  <c r="F2696" i="1"/>
  <c r="G2696" i="1"/>
  <c r="E2697" i="1"/>
  <c r="F2697" i="1"/>
  <c r="G2697" i="1"/>
  <c r="E2698" i="1"/>
  <c r="F2698" i="1"/>
  <c r="G2698" i="1"/>
  <c r="E2699" i="1"/>
  <c r="F2699" i="1"/>
  <c r="G2699" i="1"/>
  <c r="E2700" i="1"/>
  <c r="F2700" i="1"/>
  <c r="G2700" i="1"/>
  <c r="E2701" i="1"/>
  <c r="F2701" i="1"/>
  <c r="G2701" i="1"/>
  <c r="E2702" i="1"/>
  <c r="F2702" i="1"/>
  <c r="G2702" i="1"/>
  <c r="E2703" i="1"/>
  <c r="F2703" i="1"/>
  <c r="G2703" i="1"/>
  <c r="E2704" i="1"/>
  <c r="F2704" i="1"/>
  <c r="G2704" i="1"/>
  <c r="E2705" i="1"/>
  <c r="F2705" i="1"/>
  <c r="G2705" i="1"/>
  <c r="E2706" i="1"/>
  <c r="F2706" i="1"/>
  <c r="G2706" i="1"/>
  <c r="E2707" i="1"/>
  <c r="F2707" i="1"/>
  <c r="G2707" i="1"/>
  <c r="E2708" i="1"/>
  <c r="F2708" i="1"/>
  <c r="G2708" i="1"/>
  <c r="E2709" i="1"/>
  <c r="F2709" i="1"/>
  <c r="G2709" i="1"/>
  <c r="E2710" i="1"/>
  <c r="F2710" i="1"/>
  <c r="G2710" i="1"/>
  <c r="E2711" i="1"/>
  <c r="F2711" i="1"/>
  <c r="G2711" i="1"/>
  <c r="E2712" i="1"/>
  <c r="F2712" i="1"/>
  <c r="G2712" i="1"/>
  <c r="E2713" i="1"/>
  <c r="F2713" i="1"/>
  <c r="G2713" i="1"/>
  <c r="E2714" i="1"/>
  <c r="F2714" i="1"/>
  <c r="G2714" i="1"/>
  <c r="E2715" i="1"/>
  <c r="F2715" i="1"/>
  <c r="G2715" i="1"/>
  <c r="E2716" i="1"/>
  <c r="F2716" i="1"/>
  <c r="G2716" i="1"/>
  <c r="E2717" i="1"/>
  <c r="F2717" i="1"/>
  <c r="G2717" i="1"/>
  <c r="E2718" i="1"/>
  <c r="F2718" i="1"/>
  <c r="G2718" i="1"/>
  <c r="E2719" i="1"/>
  <c r="F2719" i="1"/>
  <c r="G2719" i="1"/>
  <c r="E2720" i="1"/>
  <c r="F2720" i="1"/>
  <c r="G2720" i="1"/>
  <c r="E2721" i="1"/>
  <c r="F2721" i="1"/>
  <c r="G2721" i="1"/>
  <c r="E2722" i="1"/>
  <c r="F2722" i="1"/>
  <c r="G2722" i="1"/>
  <c r="E2723" i="1"/>
  <c r="F2723" i="1"/>
  <c r="G2723" i="1"/>
  <c r="E2724" i="1"/>
  <c r="F2724" i="1"/>
  <c r="G2724" i="1"/>
  <c r="E2725" i="1"/>
  <c r="F2725" i="1"/>
  <c r="G2725" i="1"/>
  <c r="E2726" i="1"/>
  <c r="F2726" i="1"/>
  <c r="G2726" i="1"/>
  <c r="E2727" i="1"/>
  <c r="F2727" i="1"/>
  <c r="G2727" i="1"/>
  <c r="E2728" i="1"/>
  <c r="F2728" i="1"/>
  <c r="G2728" i="1"/>
  <c r="E2729" i="1"/>
  <c r="F2729" i="1"/>
  <c r="G2729" i="1"/>
  <c r="E2730" i="1"/>
  <c r="F2730" i="1"/>
  <c r="G2730" i="1"/>
  <c r="E2731" i="1"/>
  <c r="F2731" i="1"/>
  <c r="G2731" i="1"/>
  <c r="E2732" i="1"/>
  <c r="F2732" i="1"/>
  <c r="G2732" i="1"/>
  <c r="E2733" i="1"/>
  <c r="F2733" i="1"/>
  <c r="G2733" i="1"/>
  <c r="E2734" i="1"/>
  <c r="F2734" i="1"/>
  <c r="G2734" i="1"/>
  <c r="E2735" i="1"/>
  <c r="F2735" i="1"/>
  <c r="G2735" i="1"/>
  <c r="E2736" i="1"/>
  <c r="F2736" i="1"/>
  <c r="G2736" i="1"/>
  <c r="E2737" i="1"/>
  <c r="F2737" i="1"/>
  <c r="G2737" i="1"/>
  <c r="E2738" i="1"/>
  <c r="F2738" i="1"/>
  <c r="G2738" i="1"/>
  <c r="E2739" i="1"/>
  <c r="F2739" i="1"/>
  <c r="G2739" i="1"/>
  <c r="E2740" i="1"/>
  <c r="F2740" i="1"/>
  <c r="G2740" i="1"/>
  <c r="E2741" i="1"/>
  <c r="F2741" i="1"/>
  <c r="G2741" i="1"/>
  <c r="E2742" i="1"/>
  <c r="F2742" i="1"/>
  <c r="G2742" i="1"/>
  <c r="E2743" i="1"/>
  <c r="F2743" i="1"/>
  <c r="G2743" i="1"/>
  <c r="E2744" i="1"/>
  <c r="F2744" i="1"/>
  <c r="G2744" i="1"/>
  <c r="E2745" i="1"/>
  <c r="F2745" i="1"/>
  <c r="G2745" i="1"/>
  <c r="E2746" i="1"/>
  <c r="F2746" i="1"/>
  <c r="G2746" i="1"/>
  <c r="E2747" i="1"/>
  <c r="F2747" i="1"/>
  <c r="G2747" i="1"/>
  <c r="E2748" i="1"/>
  <c r="F2748" i="1"/>
  <c r="G2748" i="1"/>
  <c r="E2749" i="1"/>
  <c r="F2749" i="1"/>
  <c r="G2749" i="1"/>
  <c r="E2750" i="1"/>
  <c r="F2750" i="1"/>
  <c r="G2750" i="1"/>
  <c r="E2751" i="1"/>
  <c r="F2751" i="1"/>
  <c r="G2751" i="1"/>
  <c r="E2752" i="1"/>
  <c r="F2752" i="1"/>
  <c r="G2752" i="1"/>
  <c r="E2753" i="1"/>
  <c r="F2753" i="1"/>
  <c r="G2753" i="1"/>
  <c r="E2754" i="1"/>
  <c r="F2754" i="1"/>
  <c r="G2754" i="1"/>
  <c r="E2755" i="1"/>
  <c r="F2755" i="1"/>
  <c r="G2755" i="1"/>
  <c r="E2756" i="1"/>
  <c r="F2756" i="1"/>
  <c r="G2756" i="1"/>
  <c r="E2757" i="1"/>
  <c r="F2757" i="1"/>
  <c r="G2757" i="1"/>
  <c r="E2758" i="1"/>
  <c r="F2758" i="1"/>
  <c r="G2758" i="1"/>
  <c r="E2759" i="1"/>
  <c r="F2759" i="1"/>
  <c r="G2759" i="1"/>
  <c r="E2760" i="1"/>
  <c r="F2760" i="1"/>
  <c r="G2760" i="1"/>
  <c r="E2761" i="1"/>
  <c r="F2761" i="1"/>
  <c r="G2761" i="1"/>
  <c r="E2762" i="1"/>
  <c r="F2762" i="1"/>
  <c r="G2762" i="1"/>
  <c r="E2763" i="1"/>
  <c r="F2763" i="1"/>
  <c r="G2763" i="1"/>
  <c r="E2764" i="1"/>
  <c r="F2764" i="1"/>
  <c r="G2764" i="1"/>
  <c r="E2765" i="1"/>
  <c r="F2765" i="1"/>
  <c r="G2765" i="1"/>
  <c r="E2766" i="1"/>
  <c r="F2766" i="1"/>
  <c r="G2766" i="1"/>
  <c r="E2767" i="1"/>
  <c r="F2767" i="1"/>
  <c r="G2767" i="1"/>
  <c r="E2768" i="1"/>
  <c r="F2768" i="1"/>
  <c r="G2768" i="1"/>
  <c r="E2769" i="1"/>
  <c r="F2769" i="1"/>
  <c r="G2769" i="1"/>
  <c r="E2770" i="1"/>
  <c r="F2770" i="1"/>
  <c r="G2770" i="1"/>
  <c r="E2771" i="1"/>
  <c r="F2771" i="1"/>
  <c r="G2771" i="1"/>
  <c r="E2772" i="1"/>
  <c r="F2772" i="1"/>
  <c r="G2772" i="1"/>
  <c r="E2773" i="1"/>
  <c r="F2773" i="1"/>
  <c r="G2773" i="1"/>
  <c r="E2774" i="1"/>
  <c r="F2774" i="1"/>
  <c r="G2774" i="1"/>
  <c r="E2775" i="1"/>
  <c r="F2775" i="1"/>
  <c r="G2775" i="1"/>
  <c r="E2776" i="1"/>
  <c r="F2776" i="1"/>
  <c r="G2776" i="1"/>
  <c r="E2777" i="1"/>
  <c r="F2777" i="1"/>
  <c r="G2777" i="1"/>
  <c r="E2778" i="1"/>
  <c r="F2778" i="1"/>
  <c r="G2778" i="1"/>
  <c r="E2779" i="1"/>
  <c r="F2779" i="1"/>
  <c r="G2779" i="1"/>
  <c r="E2780" i="1"/>
  <c r="F2780" i="1"/>
  <c r="G2780" i="1"/>
  <c r="E2781" i="1"/>
  <c r="F2781" i="1"/>
  <c r="G2781" i="1"/>
  <c r="E2782" i="1"/>
  <c r="F2782" i="1"/>
  <c r="G2782" i="1"/>
  <c r="E2783" i="1"/>
  <c r="F2783" i="1"/>
  <c r="G2783" i="1"/>
  <c r="E2784" i="1"/>
  <c r="F2784" i="1"/>
  <c r="G2784" i="1"/>
  <c r="E2785" i="1"/>
  <c r="F2785" i="1"/>
  <c r="G2785" i="1"/>
  <c r="E2786" i="1"/>
  <c r="F2786" i="1"/>
  <c r="G2786" i="1"/>
  <c r="E2787" i="1"/>
  <c r="F2787" i="1"/>
  <c r="G2787" i="1"/>
  <c r="E2788" i="1"/>
  <c r="F2788" i="1"/>
  <c r="G2788" i="1"/>
  <c r="E2789" i="1"/>
  <c r="F2789" i="1"/>
  <c r="G2789" i="1"/>
  <c r="E2790" i="1"/>
  <c r="F2790" i="1"/>
  <c r="G2790" i="1"/>
  <c r="E2791" i="1"/>
  <c r="F2791" i="1"/>
  <c r="G2791" i="1"/>
  <c r="E2792" i="1"/>
  <c r="F2792" i="1"/>
  <c r="G2792" i="1"/>
  <c r="E2793" i="1"/>
  <c r="F2793" i="1"/>
  <c r="G2793" i="1"/>
  <c r="E2794" i="1"/>
  <c r="F2794" i="1"/>
  <c r="G2794" i="1"/>
  <c r="E2795" i="1"/>
  <c r="F2795" i="1"/>
  <c r="G2795" i="1"/>
  <c r="E2796" i="1"/>
  <c r="F2796" i="1"/>
  <c r="G2796" i="1"/>
  <c r="E2797" i="1"/>
  <c r="F2797" i="1"/>
  <c r="G2797" i="1"/>
  <c r="E2798" i="1"/>
  <c r="F2798" i="1"/>
  <c r="G2798" i="1"/>
  <c r="E2799" i="1"/>
  <c r="F2799" i="1"/>
  <c r="G2799" i="1"/>
  <c r="E2800" i="1"/>
  <c r="F2800" i="1"/>
  <c r="G2800" i="1"/>
  <c r="E2801" i="1"/>
  <c r="F2801" i="1"/>
  <c r="G2801" i="1"/>
  <c r="E2802" i="1"/>
  <c r="F2802" i="1"/>
  <c r="G2802" i="1"/>
  <c r="E2803" i="1"/>
  <c r="F2803" i="1"/>
  <c r="G2803" i="1"/>
  <c r="E2804" i="1"/>
  <c r="F2804" i="1"/>
  <c r="G2804" i="1"/>
  <c r="E2805" i="1"/>
  <c r="F2805" i="1"/>
  <c r="G2805" i="1"/>
  <c r="E2806" i="1"/>
  <c r="F2806" i="1"/>
  <c r="G2806" i="1"/>
  <c r="E2807" i="1"/>
  <c r="F2807" i="1"/>
  <c r="G2807" i="1"/>
  <c r="E2808" i="1"/>
  <c r="F2808" i="1"/>
  <c r="G2808" i="1"/>
  <c r="E2809" i="1"/>
  <c r="F2809" i="1"/>
  <c r="G2809" i="1"/>
  <c r="E2810" i="1"/>
  <c r="F2810" i="1"/>
  <c r="G2810" i="1"/>
  <c r="E2811" i="1"/>
  <c r="F2811" i="1"/>
  <c r="G2811" i="1"/>
  <c r="E2812" i="1"/>
  <c r="F2812" i="1"/>
  <c r="G2812" i="1"/>
  <c r="E2813" i="1"/>
  <c r="F2813" i="1"/>
  <c r="G2813" i="1"/>
  <c r="E2814" i="1"/>
  <c r="F2814" i="1"/>
  <c r="G2814" i="1"/>
  <c r="E2815" i="1"/>
  <c r="F2815" i="1"/>
  <c r="G2815" i="1"/>
  <c r="E2816" i="1"/>
  <c r="F2816" i="1"/>
  <c r="G2816" i="1"/>
  <c r="E2817" i="1"/>
  <c r="F2817" i="1"/>
  <c r="G2817" i="1"/>
  <c r="E2818" i="1"/>
  <c r="F2818" i="1"/>
  <c r="G2818" i="1"/>
  <c r="E2819" i="1"/>
  <c r="F2819" i="1"/>
  <c r="G2819" i="1"/>
  <c r="E2820" i="1"/>
  <c r="F2820" i="1"/>
  <c r="G2820" i="1"/>
  <c r="E2821" i="1"/>
  <c r="F2821" i="1"/>
  <c r="G2821" i="1"/>
  <c r="E2822" i="1"/>
  <c r="F2822" i="1"/>
  <c r="G2822" i="1"/>
  <c r="E2823" i="1"/>
  <c r="F2823" i="1"/>
  <c r="G2823" i="1"/>
  <c r="E2824" i="1"/>
  <c r="F2824" i="1"/>
  <c r="G2824" i="1"/>
  <c r="E2825" i="1"/>
  <c r="F2825" i="1"/>
  <c r="G2825" i="1"/>
  <c r="E2826" i="1"/>
  <c r="F2826" i="1"/>
  <c r="G2826" i="1"/>
  <c r="E2827" i="1"/>
  <c r="F2827" i="1"/>
  <c r="G2827" i="1"/>
  <c r="E2828" i="1"/>
  <c r="F2828" i="1"/>
  <c r="G2828" i="1"/>
  <c r="E2829" i="1"/>
  <c r="F2829" i="1"/>
  <c r="G2829" i="1"/>
  <c r="E2830" i="1"/>
  <c r="F2830" i="1"/>
  <c r="G2830" i="1"/>
  <c r="E2831" i="1"/>
  <c r="F2831" i="1"/>
  <c r="G2831" i="1"/>
  <c r="E2832" i="1"/>
  <c r="F2832" i="1"/>
  <c r="G2832" i="1"/>
  <c r="E2833" i="1"/>
  <c r="F2833" i="1"/>
  <c r="G2833" i="1"/>
  <c r="E2834" i="1"/>
  <c r="F2834" i="1"/>
  <c r="G2834" i="1"/>
  <c r="E2835" i="1"/>
  <c r="F2835" i="1"/>
  <c r="G2835" i="1"/>
  <c r="E2836" i="1"/>
  <c r="F2836" i="1"/>
  <c r="G2836" i="1"/>
  <c r="E2837" i="1"/>
  <c r="F2837" i="1"/>
  <c r="G2837" i="1"/>
  <c r="E2838" i="1"/>
  <c r="F2838" i="1"/>
  <c r="G2838" i="1"/>
  <c r="E2839" i="1"/>
  <c r="F2839" i="1"/>
  <c r="G2839" i="1"/>
  <c r="E2840" i="1"/>
  <c r="F2840" i="1"/>
  <c r="G2840" i="1"/>
  <c r="E2841" i="1"/>
  <c r="F2841" i="1"/>
  <c r="G2841" i="1"/>
  <c r="E2842" i="1"/>
  <c r="F2842" i="1"/>
  <c r="G2842" i="1"/>
  <c r="E2843" i="1"/>
  <c r="F2843" i="1"/>
  <c r="G2843" i="1"/>
  <c r="E2844" i="1"/>
  <c r="F2844" i="1"/>
  <c r="G2844" i="1"/>
  <c r="E2845" i="1"/>
  <c r="F2845" i="1"/>
  <c r="G2845" i="1"/>
  <c r="E2846" i="1"/>
  <c r="F2846" i="1"/>
  <c r="G2846" i="1"/>
  <c r="E2847" i="1"/>
  <c r="F2847" i="1"/>
  <c r="G2847" i="1"/>
  <c r="E2848" i="1"/>
  <c r="F2848" i="1"/>
  <c r="G2848" i="1"/>
  <c r="E2849" i="1"/>
  <c r="F2849" i="1"/>
  <c r="G2849" i="1"/>
  <c r="E2850" i="1"/>
  <c r="F2850" i="1"/>
  <c r="G2850" i="1"/>
  <c r="E2851" i="1"/>
  <c r="F2851" i="1"/>
  <c r="G2851" i="1"/>
  <c r="E2852" i="1"/>
  <c r="F2852" i="1"/>
  <c r="G2852" i="1"/>
  <c r="E2853" i="1"/>
  <c r="F2853" i="1"/>
  <c r="G2853" i="1"/>
  <c r="E2854" i="1"/>
  <c r="F2854" i="1"/>
  <c r="G2854" i="1"/>
  <c r="E2855" i="1"/>
  <c r="F2855" i="1"/>
  <c r="G2855" i="1"/>
  <c r="E2856" i="1"/>
  <c r="F2856" i="1"/>
  <c r="G2856" i="1"/>
  <c r="E2857" i="1"/>
  <c r="F2857" i="1"/>
  <c r="G2857" i="1"/>
  <c r="E2858" i="1"/>
  <c r="F2858" i="1"/>
  <c r="G2858" i="1"/>
  <c r="E2859" i="1"/>
  <c r="F2859" i="1"/>
  <c r="G2859" i="1"/>
  <c r="E2860" i="1"/>
  <c r="F2860" i="1"/>
  <c r="G2860" i="1"/>
  <c r="E2861" i="1"/>
  <c r="F2861" i="1"/>
  <c r="G2861" i="1"/>
  <c r="E2862" i="1"/>
  <c r="F2862" i="1"/>
  <c r="G2862" i="1"/>
  <c r="E2863" i="1"/>
  <c r="F2863" i="1"/>
  <c r="G2863" i="1"/>
  <c r="E2864" i="1"/>
  <c r="F2864" i="1"/>
  <c r="G2864" i="1"/>
  <c r="E2865" i="1"/>
  <c r="F2865" i="1"/>
  <c r="G2865" i="1"/>
  <c r="E2866" i="1"/>
  <c r="F2866" i="1"/>
  <c r="G2866" i="1"/>
  <c r="E2867" i="1"/>
  <c r="F2867" i="1"/>
  <c r="G2867" i="1"/>
  <c r="E2868" i="1"/>
  <c r="F2868" i="1"/>
  <c r="G2868" i="1"/>
  <c r="E2869" i="1"/>
  <c r="F2869" i="1"/>
  <c r="G2869" i="1"/>
  <c r="E2870" i="1"/>
  <c r="F2870" i="1"/>
  <c r="G2870" i="1"/>
  <c r="E2871" i="1"/>
  <c r="F2871" i="1"/>
  <c r="G2871" i="1"/>
  <c r="E2872" i="1"/>
  <c r="F2872" i="1"/>
  <c r="G2872" i="1"/>
  <c r="E2873" i="1"/>
  <c r="F2873" i="1"/>
  <c r="G2873" i="1"/>
  <c r="E2874" i="1"/>
  <c r="F2874" i="1"/>
  <c r="G2874" i="1"/>
  <c r="E2875" i="1"/>
  <c r="F2875" i="1"/>
  <c r="G2875" i="1"/>
  <c r="E2876" i="1"/>
  <c r="F2876" i="1"/>
  <c r="G2876" i="1"/>
  <c r="E2877" i="1"/>
  <c r="F2877" i="1"/>
  <c r="G2877" i="1"/>
  <c r="E2878" i="1"/>
  <c r="F2878" i="1"/>
  <c r="G2878" i="1"/>
  <c r="E2879" i="1"/>
  <c r="F2879" i="1"/>
  <c r="G2879" i="1"/>
  <c r="E2880" i="1"/>
  <c r="F2880" i="1"/>
  <c r="G2880" i="1"/>
  <c r="E2881" i="1"/>
  <c r="F2881" i="1"/>
  <c r="G2881" i="1"/>
  <c r="E2882" i="1"/>
  <c r="F2882" i="1"/>
  <c r="G2882" i="1"/>
  <c r="E2883" i="1"/>
  <c r="F2883" i="1"/>
  <c r="G2883" i="1"/>
  <c r="E2884" i="1"/>
  <c r="F2884" i="1"/>
  <c r="G2884" i="1"/>
  <c r="E2885" i="1"/>
  <c r="F2885" i="1"/>
  <c r="G2885" i="1"/>
  <c r="E2886" i="1"/>
  <c r="F2886" i="1"/>
  <c r="G2886" i="1"/>
  <c r="E2887" i="1"/>
  <c r="F2887" i="1"/>
  <c r="G2887" i="1"/>
  <c r="E2888" i="1"/>
  <c r="F2888" i="1"/>
  <c r="G2888" i="1"/>
  <c r="E2889" i="1"/>
  <c r="F2889" i="1"/>
  <c r="G2889" i="1"/>
  <c r="E2890" i="1"/>
  <c r="F2890" i="1"/>
  <c r="G2890" i="1"/>
  <c r="E2891" i="1"/>
  <c r="F2891" i="1"/>
  <c r="G2891" i="1"/>
  <c r="E2892" i="1"/>
  <c r="F2892" i="1"/>
  <c r="G2892" i="1"/>
  <c r="E2893" i="1"/>
  <c r="F2893" i="1"/>
  <c r="G2893" i="1"/>
  <c r="E2894" i="1"/>
  <c r="F2894" i="1"/>
  <c r="G2894" i="1"/>
  <c r="E2895" i="1"/>
  <c r="F2895" i="1"/>
  <c r="G2895" i="1"/>
  <c r="E2896" i="1"/>
  <c r="F2896" i="1"/>
  <c r="G2896" i="1"/>
  <c r="E2897" i="1"/>
  <c r="F2897" i="1"/>
  <c r="G2897" i="1"/>
  <c r="E2898" i="1"/>
  <c r="F2898" i="1"/>
  <c r="G2898" i="1"/>
  <c r="E2899" i="1"/>
  <c r="F2899" i="1"/>
  <c r="G2899" i="1"/>
  <c r="E2900" i="1"/>
  <c r="F2900" i="1"/>
  <c r="G2900" i="1"/>
  <c r="E2901" i="1"/>
  <c r="F2901" i="1"/>
  <c r="G2901" i="1"/>
  <c r="E2902" i="1"/>
  <c r="F2902" i="1"/>
  <c r="G2902" i="1"/>
  <c r="E2903" i="1"/>
  <c r="F2903" i="1"/>
  <c r="G2903" i="1"/>
  <c r="E2904" i="1"/>
  <c r="F2904" i="1"/>
  <c r="G2904" i="1"/>
  <c r="E2905" i="1"/>
  <c r="F2905" i="1"/>
  <c r="G2905" i="1"/>
  <c r="E2906" i="1"/>
  <c r="F2906" i="1"/>
  <c r="G2906" i="1"/>
  <c r="E2907" i="1"/>
  <c r="F2907" i="1"/>
  <c r="G2907" i="1"/>
  <c r="E2908" i="1"/>
  <c r="F2908" i="1"/>
  <c r="G2908" i="1"/>
  <c r="E2909" i="1"/>
  <c r="F2909" i="1"/>
  <c r="G2909" i="1"/>
  <c r="E2910" i="1"/>
  <c r="F2910" i="1"/>
  <c r="G2910" i="1"/>
  <c r="E2911" i="1"/>
  <c r="F2911" i="1"/>
  <c r="G2911" i="1"/>
  <c r="E2912" i="1"/>
  <c r="F2912" i="1"/>
  <c r="G2912" i="1"/>
  <c r="E2913" i="1"/>
  <c r="F2913" i="1"/>
  <c r="G2913" i="1"/>
  <c r="E2914" i="1"/>
  <c r="F2914" i="1"/>
  <c r="G2914" i="1"/>
  <c r="E2915" i="1"/>
  <c r="F2915" i="1"/>
  <c r="G2915" i="1"/>
  <c r="E2916" i="1"/>
  <c r="F2916" i="1"/>
  <c r="G2916" i="1"/>
  <c r="E2917" i="1"/>
  <c r="F2917" i="1"/>
  <c r="G2917" i="1"/>
  <c r="E2918" i="1"/>
  <c r="F2918" i="1"/>
  <c r="G2918" i="1"/>
  <c r="E2919" i="1"/>
  <c r="F2919" i="1"/>
  <c r="G2919" i="1"/>
  <c r="E2920" i="1"/>
  <c r="F2920" i="1"/>
  <c r="G2920" i="1"/>
  <c r="E2921" i="1"/>
  <c r="F2921" i="1"/>
  <c r="G2921" i="1"/>
  <c r="E2922" i="1"/>
  <c r="F2922" i="1"/>
  <c r="G2922" i="1"/>
  <c r="E2923" i="1"/>
  <c r="F2923" i="1"/>
  <c r="G2923" i="1"/>
  <c r="E2924" i="1"/>
  <c r="F2924" i="1"/>
  <c r="G2924" i="1"/>
  <c r="E2925" i="1"/>
  <c r="F2925" i="1"/>
  <c r="G2925" i="1"/>
  <c r="E2926" i="1"/>
  <c r="F2926" i="1"/>
  <c r="G2926" i="1"/>
  <c r="E2927" i="1"/>
  <c r="F2927" i="1"/>
  <c r="G2927" i="1"/>
  <c r="E2928" i="1"/>
  <c r="F2928" i="1"/>
  <c r="G2928" i="1"/>
  <c r="E2929" i="1"/>
  <c r="F2929" i="1"/>
  <c r="G2929" i="1"/>
  <c r="E2930" i="1"/>
  <c r="F2930" i="1"/>
  <c r="G2930" i="1"/>
  <c r="E2931" i="1"/>
  <c r="F2931" i="1"/>
  <c r="G2931" i="1"/>
  <c r="E2932" i="1"/>
  <c r="F2932" i="1"/>
  <c r="G2932" i="1"/>
  <c r="E2933" i="1"/>
  <c r="F2933" i="1"/>
  <c r="G2933" i="1"/>
  <c r="E2934" i="1"/>
  <c r="F2934" i="1"/>
  <c r="G2934" i="1"/>
  <c r="E2935" i="1"/>
  <c r="F2935" i="1"/>
  <c r="G2935" i="1"/>
  <c r="E2936" i="1"/>
  <c r="F2936" i="1"/>
  <c r="G2936" i="1"/>
  <c r="E2937" i="1"/>
  <c r="F2937" i="1"/>
  <c r="G2937" i="1"/>
  <c r="E2938" i="1"/>
  <c r="F2938" i="1"/>
  <c r="G2938" i="1"/>
  <c r="E2939" i="1"/>
  <c r="F2939" i="1"/>
  <c r="G2939" i="1"/>
  <c r="E2940" i="1"/>
  <c r="F2940" i="1"/>
  <c r="G2940" i="1"/>
  <c r="E2941" i="1"/>
  <c r="F2941" i="1"/>
  <c r="G2941" i="1"/>
  <c r="E2942" i="1"/>
  <c r="F2942" i="1"/>
  <c r="G2942" i="1"/>
  <c r="E2943" i="1"/>
  <c r="F2943" i="1"/>
  <c r="G2943" i="1"/>
  <c r="E2944" i="1"/>
  <c r="F2944" i="1"/>
  <c r="G2944" i="1"/>
  <c r="E2945" i="1"/>
  <c r="F2945" i="1"/>
  <c r="G2945" i="1"/>
  <c r="E2946" i="1"/>
  <c r="F2946" i="1"/>
  <c r="G2946" i="1"/>
  <c r="E2947" i="1"/>
  <c r="F2947" i="1"/>
  <c r="G2947" i="1"/>
  <c r="E2948" i="1"/>
  <c r="F2948" i="1"/>
  <c r="G2948" i="1"/>
  <c r="E2949" i="1"/>
  <c r="F2949" i="1"/>
  <c r="G2949" i="1"/>
  <c r="E2950" i="1"/>
  <c r="F2950" i="1"/>
  <c r="G2950" i="1"/>
  <c r="E2951" i="1"/>
  <c r="F2951" i="1"/>
  <c r="G2951" i="1"/>
  <c r="E2952" i="1"/>
  <c r="F2952" i="1"/>
  <c r="G2952" i="1"/>
  <c r="E2953" i="1"/>
  <c r="F2953" i="1"/>
  <c r="G2953" i="1"/>
  <c r="E2954" i="1"/>
  <c r="F2954" i="1"/>
  <c r="G2954" i="1"/>
  <c r="E2955" i="1"/>
  <c r="F2955" i="1"/>
  <c r="G2955" i="1"/>
  <c r="E2956" i="1"/>
  <c r="F2956" i="1"/>
  <c r="G2956" i="1"/>
  <c r="E2957" i="1"/>
  <c r="F2957" i="1"/>
  <c r="G2957" i="1"/>
  <c r="E2958" i="1"/>
  <c r="F2958" i="1"/>
  <c r="G2958" i="1"/>
  <c r="E2959" i="1"/>
  <c r="F2959" i="1"/>
  <c r="G2959" i="1"/>
  <c r="E2960" i="1"/>
  <c r="F2960" i="1"/>
  <c r="G2960" i="1"/>
  <c r="E2961" i="1"/>
  <c r="F2961" i="1"/>
  <c r="G2961" i="1"/>
  <c r="E2962" i="1"/>
  <c r="F2962" i="1"/>
  <c r="G2962" i="1"/>
  <c r="E2963" i="1"/>
  <c r="F2963" i="1"/>
  <c r="G2963" i="1"/>
  <c r="E2964" i="1"/>
  <c r="F2964" i="1"/>
  <c r="G2964" i="1"/>
  <c r="E2965" i="1"/>
  <c r="F2965" i="1"/>
  <c r="G2965" i="1"/>
  <c r="E2966" i="1"/>
  <c r="F2966" i="1"/>
  <c r="G2966" i="1"/>
  <c r="E2967" i="1"/>
  <c r="F2967" i="1"/>
  <c r="G2967" i="1"/>
  <c r="E2968" i="1"/>
  <c r="F2968" i="1"/>
  <c r="G2968" i="1"/>
  <c r="E2969" i="1"/>
  <c r="F2969" i="1"/>
  <c r="G2969" i="1"/>
  <c r="E2970" i="1"/>
  <c r="F2970" i="1"/>
  <c r="G2970" i="1"/>
  <c r="E2971" i="1"/>
  <c r="F2971" i="1"/>
  <c r="G2971" i="1"/>
  <c r="E2972" i="1"/>
  <c r="F2972" i="1"/>
  <c r="G2972" i="1"/>
  <c r="E2973" i="1"/>
  <c r="F2973" i="1"/>
  <c r="G2973" i="1"/>
  <c r="E2974" i="1"/>
  <c r="F2974" i="1"/>
  <c r="G2974" i="1"/>
  <c r="E2975" i="1"/>
  <c r="F2975" i="1"/>
  <c r="G2975" i="1"/>
  <c r="E2976" i="1"/>
  <c r="F2976" i="1"/>
  <c r="G2976" i="1"/>
  <c r="E2977" i="1"/>
  <c r="F2977" i="1"/>
  <c r="G2977" i="1"/>
  <c r="E2978" i="1"/>
  <c r="F2978" i="1"/>
  <c r="G2978" i="1"/>
  <c r="E2979" i="1"/>
  <c r="F2979" i="1"/>
  <c r="G2979" i="1"/>
  <c r="E2980" i="1"/>
  <c r="F2980" i="1"/>
  <c r="G2980" i="1"/>
  <c r="E2981" i="1"/>
  <c r="F2981" i="1"/>
  <c r="G2981" i="1"/>
  <c r="E2982" i="1"/>
  <c r="F2982" i="1"/>
  <c r="G2982" i="1"/>
  <c r="E2983" i="1"/>
  <c r="F2983" i="1"/>
  <c r="G2983" i="1"/>
  <c r="E2984" i="1"/>
  <c r="F2984" i="1"/>
  <c r="G2984" i="1"/>
  <c r="E2985" i="1"/>
  <c r="F2985" i="1"/>
  <c r="G2985" i="1"/>
  <c r="E2986" i="1"/>
  <c r="F2986" i="1"/>
  <c r="G2986" i="1"/>
  <c r="E2987" i="1"/>
  <c r="F2987" i="1"/>
  <c r="G2987" i="1"/>
  <c r="E2988" i="1"/>
  <c r="F2988" i="1"/>
  <c r="G2988" i="1"/>
  <c r="E2989" i="1"/>
  <c r="F2989" i="1"/>
  <c r="G2989" i="1"/>
  <c r="E2990" i="1"/>
  <c r="F2990" i="1"/>
  <c r="G2990" i="1"/>
  <c r="E2991" i="1"/>
  <c r="F2991" i="1"/>
  <c r="G2991" i="1"/>
  <c r="E2992" i="1"/>
  <c r="F2992" i="1"/>
  <c r="G2992" i="1"/>
  <c r="E2993" i="1"/>
  <c r="F2993" i="1"/>
  <c r="G2993" i="1"/>
  <c r="E2994" i="1"/>
  <c r="F2994" i="1"/>
  <c r="G2994" i="1"/>
  <c r="E2995" i="1"/>
  <c r="F2995" i="1"/>
  <c r="G2995" i="1"/>
  <c r="E2996" i="1"/>
  <c r="F2996" i="1"/>
  <c r="G2996" i="1"/>
  <c r="E2997" i="1"/>
  <c r="F2997" i="1"/>
  <c r="G2997" i="1"/>
  <c r="E2998" i="1"/>
  <c r="F2998" i="1"/>
  <c r="G2998" i="1"/>
  <c r="E2999" i="1"/>
  <c r="F2999" i="1"/>
  <c r="G2999" i="1"/>
  <c r="E3000" i="1"/>
  <c r="F3000" i="1"/>
  <c r="G3000" i="1"/>
  <c r="E3001" i="1"/>
  <c r="F3001" i="1"/>
  <c r="G3001" i="1"/>
  <c r="E3002" i="1"/>
  <c r="F3002" i="1"/>
  <c r="G3002" i="1"/>
  <c r="E3003" i="1"/>
  <c r="F3003" i="1"/>
  <c r="G3003" i="1"/>
  <c r="E3004" i="1"/>
  <c r="F3004" i="1"/>
  <c r="G3004" i="1"/>
  <c r="E3005" i="1"/>
  <c r="F3005" i="1"/>
  <c r="G3005" i="1"/>
  <c r="E3006" i="1"/>
  <c r="F3006" i="1"/>
  <c r="G3006" i="1"/>
  <c r="E3007" i="1"/>
  <c r="F3007" i="1"/>
  <c r="G3007" i="1"/>
  <c r="E3008" i="1"/>
  <c r="F3008" i="1"/>
  <c r="G3008" i="1"/>
  <c r="E3009" i="1"/>
  <c r="F3009" i="1"/>
  <c r="G3009" i="1"/>
  <c r="E3010" i="1"/>
  <c r="F3010" i="1"/>
  <c r="G3010" i="1"/>
  <c r="E3011" i="1"/>
  <c r="F3011" i="1"/>
  <c r="G3011" i="1"/>
  <c r="E3012" i="1"/>
  <c r="F3012" i="1"/>
  <c r="G3012" i="1"/>
  <c r="E3013" i="1"/>
  <c r="F3013" i="1"/>
  <c r="G3013" i="1"/>
  <c r="E3014" i="1"/>
  <c r="F3014" i="1"/>
  <c r="G3014" i="1"/>
  <c r="E3015" i="1"/>
  <c r="F3015" i="1"/>
  <c r="G3015" i="1"/>
  <c r="E3016" i="1"/>
  <c r="F3016" i="1"/>
  <c r="G3016" i="1"/>
  <c r="E3017" i="1"/>
  <c r="F3017" i="1"/>
  <c r="G3017" i="1"/>
  <c r="E3018" i="1"/>
  <c r="F3018" i="1"/>
  <c r="G3018" i="1"/>
  <c r="E3019" i="1"/>
  <c r="F3019" i="1"/>
  <c r="G3019" i="1"/>
  <c r="E3020" i="1"/>
  <c r="F3020" i="1"/>
  <c r="G3020" i="1"/>
  <c r="E3021" i="1"/>
  <c r="F3021" i="1"/>
  <c r="G3021" i="1"/>
  <c r="E3022" i="1"/>
  <c r="F3022" i="1"/>
  <c r="G3022" i="1"/>
  <c r="E3023" i="1"/>
  <c r="F3023" i="1"/>
  <c r="G3023" i="1"/>
  <c r="E3024" i="1"/>
  <c r="F3024" i="1"/>
  <c r="G3024" i="1"/>
  <c r="E3025" i="1"/>
  <c r="F3025" i="1"/>
  <c r="G3025" i="1"/>
  <c r="E3026" i="1"/>
  <c r="F3026" i="1"/>
  <c r="G3026" i="1"/>
  <c r="E3027" i="1"/>
  <c r="F3027" i="1"/>
  <c r="G3027" i="1"/>
  <c r="E3028" i="1"/>
  <c r="F3028" i="1"/>
  <c r="G3028" i="1"/>
  <c r="E3029" i="1"/>
  <c r="F3029" i="1"/>
  <c r="G3029" i="1"/>
  <c r="E3030" i="1"/>
  <c r="F3030" i="1"/>
  <c r="G3030" i="1"/>
  <c r="E3031" i="1"/>
  <c r="F3031" i="1"/>
  <c r="G3031" i="1"/>
  <c r="E3032" i="1"/>
  <c r="F3032" i="1"/>
  <c r="G3032" i="1"/>
  <c r="E3033" i="1"/>
  <c r="F3033" i="1"/>
  <c r="G3033" i="1"/>
  <c r="E3034" i="1"/>
  <c r="F3034" i="1"/>
  <c r="G3034" i="1"/>
  <c r="E3035" i="1"/>
  <c r="F3035" i="1"/>
  <c r="G3035" i="1"/>
  <c r="E3036" i="1"/>
  <c r="F3036" i="1"/>
  <c r="G3036" i="1"/>
  <c r="E3037" i="1"/>
  <c r="F3037" i="1"/>
  <c r="G3037" i="1"/>
  <c r="E3038" i="1"/>
  <c r="F3038" i="1"/>
  <c r="G3038" i="1"/>
  <c r="E3039" i="1"/>
  <c r="F3039" i="1"/>
  <c r="G3039" i="1"/>
  <c r="E3040" i="1"/>
  <c r="F3040" i="1"/>
  <c r="G3040" i="1"/>
  <c r="E3041" i="1"/>
  <c r="F3041" i="1"/>
  <c r="G3041" i="1"/>
  <c r="E3042" i="1"/>
  <c r="F3042" i="1"/>
  <c r="G3042" i="1"/>
  <c r="E3043" i="1"/>
  <c r="F3043" i="1"/>
  <c r="G3043" i="1"/>
  <c r="E3044" i="1"/>
  <c r="F3044" i="1"/>
  <c r="G3044" i="1"/>
  <c r="E3045" i="1"/>
  <c r="F3045" i="1"/>
  <c r="G3045" i="1"/>
  <c r="E3046" i="1"/>
  <c r="F3046" i="1"/>
  <c r="G3046" i="1"/>
  <c r="E3047" i="1"/>
  <c r="F3047" i="1"/>
  <c r="G3047" i="1"/>
  <c r="E3048" i="1"/>
  <c r="F3048" i="1"/>
  <c r="G3048" i="1"/>
  <c r="E3049" i="1"/>
  <c r="F3049" i="1"/>
  <c r="G3049" i="1"/>
  <c r="E3050" i="1"/>
  <c r="F3050" i="1"/>
  <c r="G3050" i="1"/>
  <c r="E3051" i="1"/>
  <c r="F3051" i="1"/>
  <c r="G3051" i="1"/>
  <c r="E3052" i="1"/>
  <c r="F3052" i="1"/>
  <c r="G3052" i="1"/>
  <c r="E3053" i="1"/>
  <c r="F3053" i="1"/>
  <c r="G3053" i="1"/>
  <c r="E3054" i="1"/>
  <c r="F3054" i="1"/>
  <c r="G3054" i="1"/>
  <c r="E3055" i="1"/>
  <c r="F3055" i="1"/>
  <c r="G3055" i="1"/>
  <c r="E3056" i="1"/>
  <c r="F3056" i="1"/>
  <c r="G3056" i="1"/>
  <c r="E3057" i="1"/>
  <c r="F3057" i="1"/>
  <c r="G3057" i="1"/>
  <c r="E3058" i="1"/>
  <c r="F3058" i="1"/>
  <c r="G3058" i="1"/>
  <c r="E3059" i="1"/>
  <c r="F3059" i="1"/>
  <c r="G3059" i="1"/>
  <c r="E3060" i="1"/>
  <c r="F3060" i="1"/>
  <c r="G3060" i="1"/>
  <c r="E3061" i="1"/>
  <c r="F3061" i="1"/>
  <c r="G3061" i="1"/>
  <c r="E3062" i="1"/>
  <c r="F3062" i="1"/>
  <c r="G3062" i="1"/>
  <c r="E3063" i="1"/>
  <c r="F3063" i="1"/>
  <c r="G3063" i="1"/>
  <c r="E3064" i="1"/>
  <c r="F3064" i="1"/>
  <c r="G3064" i="1"/>
  <c r="E3065" i="1"/>
  <c r="F3065" i="1"/>
  <c r="G3065" i="1"/>
  <c r="E3066" i="1"/>
  <c r="F3066" i="1"/>
  <c r="G3066" i="1"/>
  <c r="E3067" i="1"/>
  <c r="F3067" i="1"/>
  <c r="G3067" i="1"/>
  <c r="E3068" i="1"/>
  <c r="F3068" i="1"/>
  <c r="G3068" i="1"/>
  <c r="E3069" i="1"/>
  <c r="F3069" i="1"/>
  <c r="G3069" i="1"/>
  <c r="E3070" i="1"/>
  <c r="F3070" i="1"/>
  <c r="G3070" i="1"/>
  <c r="E3071" i="1"/>
  <c r="F3071" i="1"/>
  <c r="G3071" i="1"/>
  <c r="E3072" i="1"/>
  <c r="F3072" i="1"/>
  <c r="G3072" i="1"/>
  <c r="E3073" i="1"/>
  <c r="F3073" i="1"/>
  <c r="G3073" i="1"/>
  <c r="E3074" i="1"/>
  <c r="F3074" i="1"/>
  <c r="G3074" i="1"/>
  <c r="E3075" i="1"/>
  <c r="F3075" i="1"/>
  <c r="G3075" i="1"/>
  <c r="E3076" i="1"/>
  <c r="F3076" i="1"/>
  <c r="G3076" i="1"/>
  <c r="E3077" i="1"/>
  <c r="F3077" i="1"/>
  <c r="G3077" i="1"/>
  <c r="E3078" i="1"/>
  <c r="F3078" i="1"/>
  <c r="G3078" i="1"/>
  <c r="E3079" i="1"/>
  <c r="F3079" i="1"/>
  <c r="G3079" i="1"/>
  <c r="E3080" i="1"/>
  <c r="F3080" i="1"/>
  <c r="G3080" i="1"/>
  <c r="E3081" i="1"/>
  <c r="F3081" i="1"/>
  <c r="G3081" i="1"/>
  <c r="E3082" i="1"/>
  <c r="F3082" i="1"/>
  <c r="G3082" i="1"/>
  <c r="E3083" i="1"/>
  <c r="F3083" i="1"/>
  <c r="G3083" i="1"/>
  <c r="E3084" i="1"/>
  <c r="F3084" i="1"/>
  <c r="G3084" i="1"/>
  <c r="E3085" i="1"/>
  <c r="F3085" i="1"/>
  <c r="G3085" i="1"/>
  <c r="E3086" i="1"/>
  <c r="F3086" i="1"/>
  <c r="G3086" i="1"/>
  <c r="E3087" i="1"/>
  <c r="F3087" i="1"/>
  <c r="G3087" i="1"/>
  <c r="E3088" i="1"/>
  <c r="F3088" i="1"/>
  <c r="G3088" i="1"/>
  <c r="E3089" i="1"/>
  <c r="F3089" i="1"/>
  <c r="G3089" i="1"/>
  <c r="E3090" i="1"/>
  <c r="F3090" i="1"/>
  <c r="G3090" i="1"/>
  <c r="E3091" i="1"/>
  <c r="F3091" i="1"/>
  <c r="G3091" i="1"/>
  <c r="E3092" i="1"/>
  <c r="F3092" i="1"/>
  <c r="G3092" i="1"/>
  <c r="E3093" i="1"/>
  <c r="F3093" i="1"/>
  <c r="G3093" i="1"/>
  <c r="E3094" i="1"/>
  <c r="F3094" i="1"/>
  <c r="G3094" i="1"/>
  <c r="E3095" i="1"/>
  <c r="F3095" i="1"/>
  <c r="G3095" i="1"/>
  <c r="E3096" i="1"/>
  <c r="F3096" i="1"/>
  <c r="G3096" i="1"/>
  <c r="E3097" i="1"/>
  <c r="F3097" i="1"/>
  <c r="G3097" i="1"/>
  <c r="E3098" i="1"/>
  <c r="F3098" i="1"/>
  <c r="G3098" i="1"/>
  <c r="E3099" i="1"/>
  <c r="F3099" i="1"/>
  <c r="G3099" i="1"/>
  <c r="E3100" i="1"/>
  <c r="F3100" i="1"/>
  <c r="G3100" i="1"/>
  <c r="E3101" i="1"/>
  <c r="F3101" i="1"/>
  <c r="G3101" i="1"/>
  <c r="E3102" i="1"/>
  <c r="F3102" i="1"/>
  <c r="G3102" i="1"/>
  <c r="E3103" i="1"/>
  <c r="F3103" i="1"/>
  <c r="G3103" i="1"/>
  <c r="E3104" i="1"/>
  <c r="F3104" i="1"/>
  <c r="G3104" i="1"/>
  <c r="E3105" i="1"/>
  <c r="F3105" i="1"/>
  <c r="G3105" i="1"/>
  <c r="E3106" i="1"/>
  <c r="F3106" i="1"/>
  <c r="G3106" i="1"/>
  <c r="E3107" i="1"/>
  <c r="F3107" i="1"/>
  <c r="G3107" i="1"/>
  <c r="E3108" i="1"/>
  <c r="F3108" i="1"/>
  <c r="G3108" i="1"/>
  <c r="E3109" i="1"/>
  <c r="F3109" i="1"/>
  <c r="G3109" i="1"/>
  <c r="E3110" i="1"/>
  <c r="F3110" i="1"/>
  <c r="G3110" i="1"/>
  <c r="E3111" i="1"/>
  <c r="F3111" i="1"/>
  <c r="G3111" i="1"/>
  <c r="E3112" i="1"/>
  <c r="F3112" i="1"/>
  <c r="G3112" i="1"/>
  <c r="E3113" i="1"/>
  <c r="F3113" i="1"/>
  <c r="G3113" i="1"/>
  <c r="E3114" i="1"/>
  <c r="F3114" i="1"/>
  <c r="G3114" i="1"/>
  <c r="E3115" i="1"/>
  <c r="F3115" i="1"/>
  <c r="G3115" i="1"/>
  <c r="E3116" i="1"/>
  <c r="F3116" i="1"/>
  <c r="G3116" i="1"/>
  <c r="E3117" i="1"/>
  <c r="F3117" i="1"/>
  <c r="G3117" i="1"/>
  <c r="E3118" i="1"/>
  <c r="F3118" i="1"/>
  <c r="G3118" i="1"/>
  <c r="E3119" i="1"/>
  <c r="F3119" i="1"/>
  <c r="G3119" i="1"/>
  <c r="E3120" i="1"/>
  <c r="F3120" i="1"/>
  <c r="G3120" i="1"/>
  <c r="E3121" i="1"/>
  <c r="F3121" i="1"/>
  <c r="G3121" i="1"/>
  <c r="E3122" i="1"/>
  <c r="F3122" i="1"/>
  <c r="G3122" i="1"/>
  <c r="E3123" i="1"/>
  <c r="F3123" i="1"/>
  <c r="G3123" i="1"/>
  <c r="E3124" i="1"/>
  <c r="F3124" i="1"/>
  <c r="G3124" i="1"/>
  <c r="E3125" i="1"/>
  <c r="F3125" i="1"/>
  <c r="G3125" i="1"/>
  <c r="E3126" i="1"/>
  <c r="F3126" i="1"/>
  <c r="G3126" i="1"/>
  <c r="E3127" i="1"/>
  <c r="F3127" i="1"/>
  <c r="G3127" i="1"/>
  <c r="E3128" i="1"/>
  <c r="F3128" i="1"/>
  <c r="G3128" i="1"/>
  <c r="E3129" i="1"/>
  <c r="F3129" i="1"/>
  <c r="G3129" i="1"/>
  <c r="E3130" i="1"/>
  <c r="F3130" i="1"/>
  <c r="G3130" i="1"/>
  <c r="E3131" i="1"/>
  <c r="F3131" i="1"/>
  <c r="G3131" i="1"/>
  <c r="E3132" i="1"/>
  <c r="F3132" i="1"/>
  <c r="G3132" i="1"/>
  <c r="E3133" i="1"/>
  <c r="F3133" i="1"/>
  <c r="G3133" i="1"/>
  <c r="E3134" i="1"/>
  <c r="F3134" i="1"/>
  <c r="G3134" i="1"/>
  <c r="E3135" i="1"/>
  <c r="F3135" i="1"/>
  <c r="G3135" i="1"/>
  <c r="E3136" i="1"/>
  <c r="F3136" i="1"/>
  <c r="G3136" i="1"/>
  <c r="E3137" i="1"/>
  <c r="F3137" i="1"/>
  <c r="G3137" i="1"/>
  <c r="E3138" i="1"/>
  <c r="F3138" i="1"/>
  <c r="G3138" i="1"/>
  <c r="E3139" i="1"/>
  <c r="F3139" i="1"/>
  <c r="G3139" i="1"/>
  <c r="E3140" i="1"/>
  <c r="F3140" i="1"/>
  <c r="G3140" i="1"/>
  <c r="E3141" i="1"/>
  <c r="F3141" i="1"/>
  <c r="G3141" i="1"/>
  <c r="E3142" i="1"/>
  <c r="F3142" i="1"/>
  <c r="G3142" i="1"/>
  <c r="E3143" i="1"/>
  <c r="F3143" i="1"/>
  <c r="G3143" i="1"/>
  <c r="E3144" i="1"/>
  <c r="F3144" i="1"/>
  <c r="G3144" i="1"/>
  <c r="E3145" i="1"/>
  <c r="F3145" i="1"/>
  <c r="G3145" i="1"/>
  <c r="E3146" i="1"/>
  <c r="F3146" i="1"/>
  <c r="G3146" i="1"/>
  <c r="E3147" i="1"/>
  <c r="F3147" i="1"/>
  <c r="G3147" i="1"/>
  <c r="E3148" i="1"/>
  <c r="F3148" i="1"/>
  <c r="G3148" i="1"/>
  <c r="E3149" i="1"/>
  <c r="F3149" i="1"/>
  <c r="G3149" i="1"/>
  <c r="E3150" i="1"/>
  <c r="F3150" i="1"/>
  <c r="G3150" i="1"/>
  <c r="E3151" i="1"/>
  <c r="F3151" i="1"/>
  <c r="G3151" i="1"/>
  <c r="E3152" i="1"/>
  <c r="F3152" i="1"/>
  <c r="G3152" i="1"/>
  <c r="E3153" i="1"/>
  <c r="F3153" i="1"/>
  <c r="G3153" i="1"/>
  <c r="E3154" i="1"/>
  <c r="F3154" i="1"/>
  <c r="G3154" i="1"/>
  <c r="E3155" i="1"/>
  <c r="F3155" i="1"/>
  <c r="G3155" i="1"/>
  <c r="E3156" i="1"/>
  <c r="F3156" i="1"/>
  <c r="G3156" i="1"/>
  <c r="E3157" i="1"/>
  <c r="F3157" i="1"/>
  <c r="G3157" i="1"/>
  <c r="E3158" i="1"/>
  <c r="F3158" i="1"/>
  <c r="G3158" i="1"/>
  <c r="E3159" i="1"/>
  <c r="F3159" i="1"/>
  <c r="G3159" i="1"/>
  <c r="E3160" i="1"/>
  <c r="F3160" i="1"/>
  <c r="G3160" i="1"/>
  <c r="E3161" i="1"/>
  <c r="F3161" i="1"/>
  <c r="G3161" i="1"/>
  <c r="E3162" i="1"/>
  <c r="F3162" i="1"/>
  <c r="G3162" i="1"/>
  <c r="E3163" i="1"/>
  <c r="F3163" i="1"/>
  <c r="G3163" i="1"/>
  <c r="E3164" i="1"/>
  <c r="F3164" i="1"/>
  <c r="G3164" i="1"/>
  <c r="E3165" i="1"/>
  <c r="F3165" i="1"/>
  <c r="G3165" i="1"/>
  <c r="E3166" i="1"/>
  <c r="F3166" i="1"/>
  <c r="G3166" i="1"/>
  <c r="E3167" i="1"/>
  <c r="F3167" i="1"/>
  <c r="G3167" i="1"/>
  <c r="E3168" i="1"/>
  <c r="F3168" i="1"/>
  <c r="G3168" i="1"/>
  <c r="E3169" i="1"/>
  <c r="F3169" i="1"/>
  <c r="G3169" i="1"/>
  <c r="E3170" i="1"/>
  <c r="F3170" i="1"/>
  <c r="G3170" i="1"/>
  <c r="E3171" i="1"/>
  <c r="F3171" i="1"/>
  <c r="G3171" i="1"/>
  <c r="E3172" i="1"/>
  <c r="F3172" i="1"/>
  <c r="G3172" i="1"/>
  <c r="E3173" i="1"/>
  <c r="F3173" i="1"/>
  <c r="G3173" i="1"/>
  <c r="E3174" i="1"/>
  <c r="F3174" i="1"/>
  <c r="G3174" i="1"/>
  <c r="E3175" i="1"/>
  <c r="F3175" i="1"/>
  <c r="G3175" i="1"/>
  <c r="E3176" i="1"/>
  <c r="F3176" i="1"/>
  <c r="G3176" i="1"/>
  <c r="E3177" i="1"/>
  <c r="F3177" i="1"/>
  <c r="G3177" i="1"/>
  <c r="E3178" i="1"/>
  <c r="F3178" i="1"/>
  <c r="G3178" i="1"/>
  <c r="E3179" i="1"/>
  <c r="F3179" i="1"/>
  <c r="G3179" i="1"/>
  <c r="E3180" i="1"/>
  <c r="F3180" i="1"/>
  <c r="G3180" i="1"/>
  <c r="E3181" i="1"/>
  <c r="F3181" i="1"/>
  <c r="G3181" i="1"/>
  <c r="E3182" i="1"/>
  <c r="F3182" i="1"/>
  <c r="G3182" i="1"/>
  <c r="E3183" i="1"/>
  <c r="F3183" i="1"/>
  <c r="G3183" i="1"/>
  <c r="E3184" i="1"/>
  <c r="F3184" i="1"/>
  <c r="G3184" i="1"/>
  <c r="E3185" i="1"/>
  <c r="F3185" i="1"/>
  <c r="G3185" i="1"/>
  <c r="E3186" i="1"/>
  <c r="F3186" i="1"/>
  <c r="G3186" i="1"/>
  <c r="E3187" i="1"/>
  <c r="F3187" i="1"/>
  <c r="G3187" i="1"/>
  <c r="E3188" i="1"/>
  <c r="F3188" i="1"/>
  <c r="G3188" i="1"/>
  <c r="E3189" i="1"/>
  <c r="F3189" i="1"/>
  <c r="G3189" i="1"/>
  <c r="E3190" i="1"/>
  <c r="F3190" i="1"/>
  <c r="G3190" i="1"/>
  <c r="E3191" i="1"/>
  <c r="F3191" i="1"/>
  <c r="G3191" i="1"/>
  <c r="E3192" i="1"/>
  <c r="F3192" i="1"/>
  <c r="G3192" i="1"/>
  <c r="E3193" i="1"/>
  <c r="F3193" i="1"/>
  <c r="G3193" i="1"/>
  <c r="E3194" i="1"/>
  <c r="F3194" i="1"/>
  <c r="G3194" i="1"/>
  <c r="E3195" i="1"/>
  <c r="F3195" i="1"/>
  <c r="G3195" i="1"/>
  <c r="E3196" i="1"/>
  <c r="F3196" i="1"/>
  <c r="G3196" i="1"/>
  <c r="E3197" i="1"/>
  <c r="F3197" i="1"/>
  <c r="G3197" i="1"/>
  <c r="E3198" i="1"/>
  <c r="F3198" i="1"/>
  <c r="G3198" i="1"/>
  <c r="E3199" i="1"/>
  <c r="F3199" i="1"/>
  <c r="G3199" i="1"/>
  <c r="E3200" i="1"/>
  <c r="F3200" i="1"/>
  <c r="G3200" i="1"/>
  <c r="E3201" i="1"/>
  <c r="F3201" i="1"/>
  <c r="G3201" i="1"/>
  <c r="E3202" i="1"/>
  <c r="F3202" i="1"/>
  <c r="G3202" i="1"/>
  <c r="E3203" i="1"/>
  <c r="F3203" i="1"/>
  <c r="G3203" i="1"/>
  <c r="E3204" i="1"/>
  <c r="F3204" i="1"/>
  <c r="G3204" i="1"/>
  <c r="E3205" i="1"/>
  <c r="F3205" i="1"/>
  <c r="G3205" i="1"/>
  <c r="E3206" i="1"/>
  <c r="F3206" i="1"/>
  <c r="G3206" i="1"/>
  <c r="E3207" i="1"/>
  <c r="F3207" i="1"/>
  <c r="G3207" i="1"/>
  <c r="E3208" i="1"/>
  <c r="F3208" i="1"/>
  <c r="G3208" i="1"/>
  <c r="E3209" i="1"/>
  <c r="F3209" i="1"/>
  <c r="G3209" i="1"/>
  <c r="E3210" i="1"/>
  <c r="F3210" i="1"/>
  <c r="G3210" i="1"/>
  <c r="E3211" i="1"/>
  <c r="F3211" i="1"/>
  <c r="G3211" i="1"/>
  <c r="E3212" i="1"/>
  <c r="F3212" i="1"/>
  <c r="G3212" i="1"/>
  <c r="E3213" i="1"/>
  <c r="F3213" i="1"/>
  <c r="G3213" i="1"/>
  <c r="E3214" i="1"/>
  <c r="F3214" i="1"/>
  <c r="G3214" i="1"/>
  <c r="E3215" i="1"/>
  <c r="F3215" i="1"/>
  <c r="G3215" i="1"/>
  <c r="E3216" i="1"/>
  <c r="F3216" i="1"/>
  <c r="G3216" i="1"/>
  <c r="E3217" i="1"/>
  <c r="F3217" i="1"/>
  <c r="G3217" i="1"/>
  <c r="E3218" i="1"/>
  <c r="F3218" i="1"/>
  <c r="G3218" i="1"/>
  <c r="E3219" i="1"/>
  <c r="F3219" i="1"/>
  <c r="G3219" i="1"/>
  <c r="E3220" i="1"/>
  <c r="F3220" i="1"/>
  <c r="G3220" i="1"/>
  <c r="E3221" i="1"/>
  <c r="F3221" i="1"/>
  <c r="G3221" i="1"/>
  <c r="E3222" i="1"/>
  <c r="F3222" i="1"/>
  <c r="G3222" i="1"/>
  <c r="E3223" i="1"/>
  <c r="F3223" i="1"/>
  <c r="G3223" i="1"/>
  <c r="E3224" i="1"/>
  <c r="F3224" i="1"/>
  <c r="G3224" i="1"/>
</calcChain>
</file>

<file path=xl/sharedStrings.xml><?xml version="1.0" encoding="utf-8"?>
<sst xmlns="http://schemas.openxmlformats.org/spreadsheetml/2006/main" count="16085" uniqueCount="5061">
  <si>
    <t>মো তৌহিদুল ইসলাম</t>
  </si>
  <si>
    <t>মো মোখলেসুর রহমান</t>
  </si>
  <si>
    <t>শ্রী সন্তোস চন্দ্র</t>
  </si>
  <si>
    <t>শ্রী সৌরভ কুমার দাস</t>
  </si>
  <si>
    <t>শ্রী পঞ্চানন</t>
  </si>
  <si>
    <t>শ্রী মনিন্দ্রনাথ</t>
  </si>
  <si>
    <t>শ্রী সুশিল চন্দ্র</t>
  </si>
  <si>
    <t>শ্রী গনেশ চন্দ্র</t>
  </si>
  <si>
    <t>শ্রী নারায়ন চন্দ্র</t>
  </si>
  <si>
    <t>শ্রী সুবাস চন্দ</t>
  </si>
  <si>
    <t>শ্রী সুরেনদ্রনাথ</t>
  </si>
  <si>
    <t>শ্রী অখিল চন্দ্র</t>
  </si>
  <si>
    <t>শ্রী নির্মল চন্দ্র</t>
  </si>
  <si>
    <t>শ্রী দীনেশ চন্দ্র</t>
  </si>
  <si>
    <t>শ্রী দিপক কুমার</t>
  </si>
  <si>
    <t>শ্রী প্রতাষ চন্দ্র</t>
  </si>
  <si>
    <t>শ্রী দুলাল চন্দ্র</t>
  </si>
  <si>
    <t>শ্রী নৃপেন্দাথ</t>
  </si>
  <si>
    <t>শ্রী কুমার পলাশ</t>
  </si>
  <si>
    <t>শ্রী স্বপন কুমার</t>
  </si>
  <si>
    <t>শ্রীমতি গিতা রানী</t>
  </si>
  <si>
    <t>শ্রী কমল কুমার</t>
  </si>
  <si>
    <t>শ্রীমতি সংগীতা রানী</t>
  </si>
  <si>
    <t>শ্রী পুরিজাত</t>
  </si>
  <si>
    <t>শ্রী আনন্দ মোহন</t>
  </si>
  <si>
    <t>শ্রী সয়ন হলদার</t>
  </si>
  <si>
    <t>শ্রী আনন্দ মহন</t>
  </si>
  <si>
    <t>শ্রী তপন নাথ</t>
  </si>
  <si>
    <t>শ্রী প্রদিব চন্দ্র</t>
  </si>
  <si>
    <t>শ্রী উপেন্দ্রনাথ</t>
  </si>
  <si>
    <t>শ্রী সাধনচন্দ্র</t>
  </si>
  <si>
    <t>শ্রী শ্যামল</t>
  </si>
  <si>
    <t>শ্রী উৎপল কুমার</t>
  </si>
  <si>
    <t>শ্রী চঞ্চল কুমার</t>
  </si>
  <si>
    <t>শ্রী শ্যামল চন্দ্র</t>
  </si>
  <si>
    <t>শ্রী রতন কুমার</t>
  </si>
  <si>
    <t>শ্রী সন্তোষ কুমার</t>
  </si>
  <si>
    <t>শ্রী নির্মল</t>
  </si>
  <si>
    <t>সজনী সাথ</t>
  </si>
  <si>
    <t>শ্রী করনা কান্ত</t>
  </si>
  <si>
    <t>শ্রী অমিয় কুমার</t>
  </si>
  <si>
    <t>শ্রী ।উৎপল</t>
  </si>
  <si>
    <t>শ্রী সুকর চন্দ্র</t>
  </si>
  <si>
    <t>শ্রী ভারত চন্দ্র</t>
  </si>
  <si>
    <t>শ্রী কার্তিক</t>
  </si>
  <si>
    <t>শ্রী সুকুমার</t>
  </si>
  <si>
    <t>শ্রী নিরমল</t>
  </si>
  <si>
    <t>শ্রী শিতিষ চন্দ্র</t>
  </si>
  <si>
    <t>শ্রী রনজিত কুমার</t>
  </si>
  <si>
    <t>শ্রী বিধান কুমার</t>
  </si>
  <si>
    <t>শ্রী সুনীল কুমার</t>
  </si>
  <si>
    <t>শ্রী মনোরঞ্জন</t>
  </si>
  <si>
    <t>শ্রী নিরঞ্জন</t>
  </si>
  <si>
    <t>শ্রী নন্দন</t>
  </si>
  <si>
    <t>শ্রী জিতেন্দ্রনাথ</t>
  </si>
  <si>
    <t>শ্রী বিনয় চন্দ্র</t>
  </si>
  <si>
    <t>শ্রী তপন সাহা</t>
  </si>
  <si>
    <t>শ্রী যোগেন্দ্রনাথ</t>
  </si>
  <si>
    <t>শ্রী পল্লব কুমার</t>
  </si>
  <si>
    <t>শ্রী নিমাই চন্দ্র</t>
  </si>
  <si>
    <t>শ্রীমতি গীতা রানী</t>
  </si>
  <si>
    <t>শ্রী মিলন সরকার</t>
  </si>
  <si>
    <t>শ্রী উজ্জল কুমার</t>
  </si>
  <si>
    <t>শ্রী সুমলি চন্দ্র</t>
  </si>
  <si>
    <t>শ্রী সুবোধ</t>
  </si>
  <si>
    <t>শ্রী অরুণ কুমার</t>
  </si>
  <si>
    <t>শ্রী নিপেন্দ্রনাথ</t>
  </si>
  <si>
    <t>শ্রী গৌতম</t>
  </si>
  <si>
    <t>শ্রীমতি ভারতী রাণী</t>
  </si>
  <si>
    <t>শ্রী হিরেন্দ্রনাথ</t>
  </si>
  <si>
    <t>শ্রী সুষান্ত</t>
  </si>
  <si>
    <t>শ্রী বিনয় কুমার</t>
  </si>
  <si>
    <t>শ্রী বরেন্দ্রনাথ</t>
  </si>
  <si>
    <t>শ্রী গোপাল চন্দ্র</t>
  </si>
  <si>
    <t>শ্রী শীতেষ চন্দ্র</t>
  </si>
  <si>
    <t>শ্রী ধীরেন্দ্রনাথ</t>
  </si>
  <si>
    <t>শ্রী অমল</t>
  </si>
  <si>
    <t>শ্রী আপাল চন্দ্র</t>
  </si>
  <si>
    <t>শ্রী তারাপদ</t>
  </si>
  <si>
    <t>শ্রী হরেন্দ্রনাথ</t>
  </si>
  <si>
    <t>শ্রী অনুপ কুমার</t>
  </si>
  <si>
    <t>শ্রী রনজিত</t>
  </si>
  <si>
    <t>শ্রী নারায়ন</t>
  </si>
  <si>
    <t>বিনা পানি</t>
  </si>
  <si>
    <t>শ্রী আশ্বীনী চন্দ্র</t>
  </si>
  <si>
    <t>শ্রী মিলন কুমার</t>
  </si>
  <si>
    <t>শ্রী ক্ষিতিশ চন্দ্র</t>
  </si>
  <si>
    <t>শ্রী সুবাস চন্দ্র</t>
  </si>
  <si>
    <t>শ্রী জগন্নাথ চক্রবর্তী</t>
  </si>
  <si>
    <t>শ্রী গোপল চন্দ্র</t>
  </si>
  <si>
    <t>শ্রী অশোক কুমার</t>
  </si>
  <si>
    <t>শ্রী মনোরঞ্জন কুমার</t>
  </si>
  <si>
    <t>শ্রীমতি পুষ্প রানী</t>
  </si>
  <si>
    <t>শ্রীমতি সন্ধা রানী</t>
  </si>
  <si>
    <t>শ্রী অচিন্ত কুমার</t>
  </si>
  <si>
    <t>শ্রী দিনেশ চন্দ্র</t>
  </si>
  <si>
    <t>শ্রী নিখিল চন্দ্র</t>
  </si>
  <si>
    <t>শ্রী নয়ন কুমার</t>
  </si>
  <si>
    <t>শ্রী চন্দ্রন কুমার</t>
  </si>
  <si>
    <t>শ্রী গৌতম কুমার</t>
  </si>
  <si>
    <t>শ্রী প্রদীপ কুমার</t>
  </si>
  <si>
    <t>শ্রী নিজেন্দ্রনাথ সাহা</t>
  </si>
  <si>
    <t>শ্রী  নিবারন চন্দ্র</t>
  </si>
  <si>
    <t>শ্রী নিরমল চন্দ্র</t>
  </si>
  <si>
    <t>শ্রী অশোতষ চন্দ্র</t>
  </si>
  <si>
    <t>শ্রী  চিত্তরঞ্জন</t>
  </si>
  <si>
    <t>শ্রী অশিবনী চন্দ্র</t>
  </si>
  <si>
    <t>শ্রী মতিবন্দনা চন্দ্র</t>
  </si>
  <si>
    <t>শ্রী খোকন চন্দ্র</t>
  </si>
  <si>
    <t>শ্রী সুখিবালা</t>
  </si>
  <si>
    <t>শ্রী অধির চন্দ্র</t>
  </si>
  <si>
    <t>শ্রী বিকাশ চন্দ্র</t>
  </si>
  <si>
    <t>শ্রী নিরেন কুমার</t>
  </si>
  <si>
    <t>শ্রী সত্য চরন</t>
  </si>
  <si>
    <t>শ্রী রনত কুমার</t>
  </si>
  <si>
    <t>শ্রী অমল কুমার</t>
  </si>
  <si>
    <t>শ্রী সমর নাথ</t>
  </si>
  <si>
    <t>শ্রী সুসান্ত কুমার</t>
  </si>
  <si>
    <t>শ্রী প্রকাশ চক্রবর্তী</t>
  </si>
  <si>
    <t>শ্রী সুদীপ কুমার</t>
  </si>
  <si>
    <t>শ্রী বিজন কুমার</t>
  </si>
  <si>
    <t>শ্রী রবিন্দ্রনাথ</t>
  </si>
  <si>
    <t>শ্রী পরেশ চন্দ</t>
  </si>
  <si>
    <t>শ্রী সন্তোস</t>
  </si>
  <si>
    <t>শ্রীমতি</t>
  </si>
  <si>
    <t>শ্রী ¯েœহলতা</t>
  </si>
  <si>
    <t>শ্রী দ্বিলীপ</t>
  </si>
  <si>
    <t>শ্রী সাধন কুমার</t>
  </si>
  <si>
    <t>শ্রী রনজিৎ</t>
  </si>
  <si>
    <t>শ্রী ভবেশ</t>
  </si>
  <si>
    <t>শ্রী মনরঞ্জন</t>
  </si>
  <si>
    <t>শ্রী সিতেন্দ্রনাথ</t>
  </si>
  <si>
    <t>শ্রী বিমল চন্দ্র</t>
  </si>
  <si>
    <t>শ্রী পলাশ কুমার</t>
  </si>
  <si>
    <t>শ্রী অজিত</t>
  </si>
  <si>
    <t>শ্রী সঞ্জয় কুমার</t>
  </si>
  <si>
    <t>শ্রী দ্বিপক কুমার</t>
  </si>
  <si>
    <t>শ্রী হারান চন্দ্র</t>
  </si>
  <si>
    <t>শ্রী নরেন্দ্রসাহা</t>
  </si>
  <si>
    <t>শ্রী তিন কড়ি</t>
  </si>
  <si>
    <t>শ্রী কাজলী রানী</t>
  </si>
  <si>
    <t>শ্রী পলাশ</t>
  </si>
  <si>
    <t>শ্রী তাপস</t>
  </si>
  <si>
    <t>শ্রী বিনয়</t>
  </si>
  <si>
    <t>শ্রী পরিমল</t>
  </si>
  <si>
    <t>শ্রী সুজিত</t>
  </si>
  <si>
    <t>শ্রী সচিন্দ্রনাথ</t>
  </si>
  <si>
    <t>শ্রী কৃষ্ণ</t>
  </si>
  <si>
    <t>শ্রী অশিত কুমার</t>
  </si>
  <si>
    <t>শ্রী যগেন্দ্রনাথ</t>
  </si>
  <si>
    <t>শ্রী শান্ত</t>
  </si>
  <si>
    <t>শ্রী চিত্তরঞ্জন</t>
  </si>
  <si>
    <t>শ্রী ব্রজেন্দ্রনাথ</t>
  </si>
  <si>
    <t>শ্রী অনিল কুমার</t>
  </si>
  <si>
    <t>শ্রী দিলিপ কুমার</t>
  </si>
  <si>
    <t>শ্রী প্রভাশ চন্দ্র</t>
  </si>
  <si>
    <t>শ্রী পুতুল রাহেড়ী</t>
  </si>
  <si>
    <t>শ্রী বিষ্ণপদ সাহা</t>
  </si>
  <si>
    <t>শ্রীমতি সনেকা রানী</t>
  </si>
  <si>
    <t>শ্রী সংকর</t>
  </si>
  <si>
    <t>শ্রী উজ্জল</t>
  </si>
  <si>
    <t>শ্রী সঞ্চিত</t>
  </si>
  <si>
    <t>শ্রী যুধিষ্ঠর</t>
  </si>
  <si>
    <t>শ্রী প্রতাপ কুমার</t>
  </si>
  <si>
    <t>শ্রী আনন্দ কুমার</t>
  </si>
  <si>
    <t>শ্রী তপন কুমার</t>
  </si>
  <si>
    <t>শ্রী শচিন্দ্রনাথ</t>
  </si>
  <si>
    <t>শ্রী প্রভাত কুমার</t>
  </si>
  <si>
    <t>শ্রী সুজিত কুমার</t>
  </si>
  <si>
    <t>শ্রী সূধাংশ</t>
  </si>
  <si>
    <t>শ্রী শ্যামল কুমার</t>
  </si>
  <si>
    <t>শ্রী বিমল কুমার</t>
  </si>
  <si>
    <t>শ্রী নিরেন্দ্রনাথ</t>
  </si>
  <si>
    <t>শ্রী  উৎপল প্রামানিক</t>
  </si>
  <si>
    <t>আয়েজ আলী</t>
  </si>
  <si>
    <t>মো তোঁজাম্মেল মন্ডল</t>
  </si>
  <si>
    <t>মো সৈয়দ উদ্দিন</t>
  </si>
  <si>
    <t>মো বেলাল উদ্দিন</t>
  </si>
  <si>
    <t>শ্রী রাজেন্দ্রনাথ</t>
  </si>
  <si>
    <t>ইসমাইল</t>
  </si>
  <si>
    <t>শ্রীচরন</t>
  </si>
  <si>
    <t>শ্রী  দেবেন</t>
  </si>
  <si>
    <t>শ্রী স¦পন কুমার দাস</t>
  </si>
  <si>
    <t>শ্রী পুলিন</t>
  </si>
  <si>
    <t>শ্রী দেবেন্দ্রনাথ</t>
  </si>
  <si>
    <t>শ্রী বৈদ্যনাথ</t>
  </si>
  <si>
    <t>শ্রী পুলিন চন্দ্র</t>
  </si>
  <si>
    <t>শ্রী সুরেন্দ্রনাথ</t>
  </si>
  <si>
    <t>শ্রী রাখাল চন্দ্র</t>
  </si>
  <si>
    <t>শ্রী ্র বৈদ্যনাথ</t>
  </si>
  <si>
    <t>শ্রী লক্ষণ চন্দ</t>
  </si>
  <si>
    <t>শ্রী মোংলা</t>
  </si>
  <si>
    <t>শ্রী সুরেস</t>
  </si>
  <si>
    <t>শ্রী রাম পদ</t>
  </si>
  <si>
    <t>শ্রী স্বপন</t>
  </si>
  <si>
    <t>শ্রী সমীন্দ্রনাথ</t>
  </si>
  <si>
    <t>শ্রী কালী পদ</t>
  </si>
  <si>
    <t>শ্রী ধন হালদার</t>
  </si>
  <si>
    <t>শ্রী ভারতচন্দ্র</t>
  </si>
  <si>
    <t>শ্রী ক্ষুদিরাম</t>
  </si>
  <si>
    <t>শ্রী নগেন্দ্রনাথ</t>
  </si>
  <si>
    <t>শ্রী রামেন্দ্র</t>
  </si>
  <si>
    <t>শ্রী নরেন্দ্রনাথ</t>
  </si>
  <si>
    <t>শ্রী শ্যামাপদ</t>
  </si>
  <si>
    <t>শ্রী ক্ষিতিশ</t>
  </si>
  <si>
    <t>শ্রী শুনীল চন্দ্র</t>
  </si>
  <si>
    <t>শ্রী হরিপদ</t>
  </si>
  <si>
    <t>শ্রী মহেন্দ্রনাথ</t>
  </si>
  <si>
    <t>শ্রী সদশন</t>
  </si>
  <si>
    <t>শ্রী সুধার চন্দ্র</t>
  </si>
  <si>
    <t>শ্রী যতিন্দ্রনাথ</t>
  </si>
  <si>
    <t>শ্রী শিতেষ কুমার</t>
  </si>
  <si>
    <t>শ্রী ভোলানাথ</t>
  </si>
  <si>
    <t>শ্রী সুনীল</t>
  </si>
  <si>
    <t>শ্রী পঞ্চনন্দ্র</t>
  </si>
  <si>
    <t>শ্রীচরণ</t>
  </si>
  <si>
    <t>শ্রী ষতিন্দ্রনাথ</t>
  </si>
  <si>
    <t>শ্রী অরুণ চন্দ্র</t>
  </si>
  <si>
    <t>শ্রী অনিল চন্দ্র</t>
  </si>
  <si>
    <t>শ্রী অনিল</t>
  </si>
  <si>
    <t>শ্রী বিজেন্দ্রনাথ</t>
  </si>
  <si>
    <t>শ্রী সুদশন</t>
  </si>
  <si>
    <t>শ্রী মরেন্দ্রনাথ</t>
  </si>
  <si>
    <t>শ্রী হেমন্ত</t>
  </si>
  <si>
    <t>শ্রী লিতেষচন্দ্র</t>
  </si>
  <si>
    <t>শ্রী জোতেষচন্দ্র</t>
  </si>
  <si>
    <t>শ্রী করুনা কানÍ</t>
  </si>
  <si>
    <t>শ্রী রাধা চরন সাহা</t>
  </si>
  <si>
    <t>শ্রী শশী ভূষন</t>
  </si>
  <si>
    <t>শ্রী গয়ানাথ</t>
  </si>
  <si>
    <t>শ্রী সুদ্বিপ কুমার</t>
  </si>
  <si>
    <t>শ্রী রামেন্দ্রনাথ</t>
  </si>
  <si>
    <t>শ্রী সুবোধ চন্দ্র</t>
  </si>
  <si>
    <t>শ্রী করুনা কান্ত</t>
  </si>
  <si>
    <t>শ্রী রতিকান্ত</t>
  </si>
  <si>
    <t>শ্রী পিরিধর সাহ</t>
  </si>
  <si>
    <t>শ্রী রাজেশ্বর</t>
  </si>
  <si>
    <t>শ্রীচরন সাহা</t>
  </si>
  <si>
    <t>শ্রী রঘুপদ সাহা</t>
  </si>
  <si>
    <t>শ্রী রাধাচরন</t>
  </si>
  <si>
    <t>শ্রী মোহিনী</t>
  </si>
  <si>
    <t>শ্রী রমেন্দ্রনাথ</t>
  </si>
  <si>
    <t>শ্রী রাধা কান্ত</t>
  </si>
  <si>
    <t>শ্রী প্রভাস চন্দ্র</t>
  </si>
  <si>
    <t>শ্রী বীরেন্দ্রনাথ</t>
  </si>
  <si>
    <t>শ্রী নরেশ চন্দ্র</t>
  </si>
  <si>
    <t>শ্রী বজেন্দ্রনাথ</t>
  </si>
  <si>
    <t>শ্রী রঘু নন্দন</t>
  </si>
  <si>
    <t>শ্রী রতি কান্ত</t>
  </si>
  <si>
    <t>শ্রী নিরমল কুমার</t>
  </si>
  <si>
    <t>শ্রী নিরেন চন্দ্র</t>
  </si>
  <si>
    <t>শ্রী রাধা চরণ</t>
  </si>
  <si>
    <t>শ্রী সত্যবরন চন্দ্র</t>
  </si>
  <si>
    <t>শ্রী লক্ষণ</t>
  </si>
  <si>
    <t>শ্রী তিন ফড়ি</t>
  </si>
  <si>
    <t>শ্রী মোহনী</t>
  </si>
  <si>
    <t>শ্রী অভয় কান্ত</t>
  </si>
  <si>
    <t>শ্রী পনেশ চন্দ্র</t>
  </si>
  <si>
    <t>শ্রী বাধা চরন</t>
  </si>
  <si>
    <t>শ্রী বিরেন্দ্রনাথ</t>
  </si>
  <si>
    <t>শ্রী রাজ কুমার</t>
  </si>
  <si>
    <t>শ্রী রঘুনন্দন</t>
  </si>
  <si>
    <t>শ্রী জয় হরি</t>
  </si>
  <si>
    <t>শ্রী ভূপেন্দ্রনাথ</t>
  </si>
  <si>
    <t>শ্রী গোপি কান্ত</t>
  </si>
  <si>
    <t>শ্রী হৃদয় কান্ত</t>
  </si>
  <si>
    <t>শ্রী রঘুরন্দ</t>
  </si>
  <si>
    <t>শ্রী অশোক</t>
  </si>
  <si>
    <t>শ্রী ভরত চন্দ্র</t>
  </si>
  <si>
    <t>শ্রী সিরিধার</t>
  </si>
  <si>
    <t>শ্রী হৃদয়</t>
  </si>
  <si>
    <t>শ্রী ধর মন্ডল</t>
  </si>
  <si>
    <t>শ্রী শুধীর চন্দ্র</t>
  </si>
  <si>
    <t>গফুর</t>
  </si>
  <si>
    <t>শ্রী আশাক</t>
  </si>
  <si>
    <t>শ্রী সুরেশ চন্দ্র</t>
  </si>
  <si>
    <t>শ্রী হারান</t>
  </si>
  <si>
    <t>শ্রী নরেন</t>
  </si>
  <si>
    <t>শ্রী রামপদ</t>
  </si>
  <si>
    <t>শ্রী করুনাকান্ত</t>
  </si>
  <si>
    <t>শ্রী সুবোল</t>
  </si>
  <si>
    <t>শ্রী ধন</t>
  </si>
  <si>
    <t>শ্রী েেগাকুল</t>
  </si>
  <si>
    <t>শ্রী সত্য চরণ</t>
  </si>
  <si>
    <t>শ্রী সত্যেন্দ্রনাথ</t>
  </si>
  <si>
    <t>শ্রী জিত্যেন্দ্রনাথ</t>
  </si>
  <si>
    <t>শ্রী মোহনী মোহন</t>
  </si>
  <si>
    <t>শ্রী সুধাংশ</t>
  </si>
  <si>
    <t>শ্রী হারানচন্দ্র</t>
  </si>
  <si>
    <t>শ্রী ক্ষেত্রনাথ</t>
  </si>
  <si>
    <t>শ্রী স্বপণ কুমার</t>
  </si>
  <si>
    <t>শ্রী কঠিরাম</t>
  </si>
  <si>
    <t>শ্রী রামপাল</t>
  </si>
  <si>
    <t>মনিরুদ্দিন</t>
  </si>
  <si>
    <t>জায়াম আলী</t>
  </si>
  <si>
    <t>আসকান আলী</t>
  </si>
  <si>
    <t>আব্দুল্লাহপুর</t>
  </si>
  <si>
    <t>কামারগাঁ</t>
  </si>
  <si>
    <t>মহাদেবপুর</t>
  </si>
  <si>
    <t>কচুয়া</t>
  </si>
  <si>
    <t>দমদমা</t>
  </si>
  <si>
    <t>শ্রীখন্ডা</t>
  </si>
  <si>
    <t>মাঝি পাড়া</t>
  </si>
  <si>
    <t>গাংহাটি</t>
  </si>
  <si>
    <t>মাঝিপাড়া</t>
  </si>
  <si>
    <t>কৃষ্ণপুর</t>
  </si>
  <si>
    <t>দোস্তরামপুর</t>
  </si>
  <si>
    <t>নিলাধরপুর</t>
  </si>
  <si>
    <t>মজুমদার পাড়া</t>
  </si>
  <si>
    <t>মজুমদা পাড়া</t>
  </si>
  <si>
    <t>আব্দিপুর</t>
  </si>
  <si>
    <t>আমিরপুর</t>
  </si>
  <si>
    <t>হাপনিয়া</t>
  </si>
  <si>
    <t>২৭ শতাংশ</t>
  </si>
  <si>
    <t>৮২ শতাংশ</t>
  </si>
  <si>
    <t>৩০ শতাংশ</t>
  </si>
  <si>
    <t>৩০০ শতাংশ</t>
  </si>
  <si>
    <t>৩৩৩ শতাংশ</t>
  </si>
  <si>
    <t>২৫০ শতাংশ</t>
  </si>
  <si>
    <t>৩৩ শতাংশ</t>
  </si>
  <si>
    <t>৪০০ শতাংশ</t>
  </si>
  <si>
    <t>২০০ শতাংশ</t>
  </si>
  <si>
    <t>৬৬ শতাংশ</t>
  </si>
  <si>
    <t>১৫০ শতাংশ</t>
  </si>
  <si>
    <t>৩৭ শতাংশ</t>
  </si>
  <si>
    <t>২০ শতাংশ</t>
  </si>
  <si>
    <t>২৬৬ শতাংশ</t>
  </si>
  <si>
    <t>১৬ শতাংশ</t>
  </si>
  <si>
    <t>২৫ শতাংশ</t>
  </si>
  <si>
    <t>৫০ শতাংশ</t>
  </si>
  <si>
    <t>৪০ শতাংশ</t>
  </si>
  <si>
    <t>১০০০ শতাংশ</t>
  </si>
  <si>
    <t>৮০০ শতাংশ</t>
  </si>
  <si>
    <t>৭০০ শতাংশ</t>
  </si>
  <si>
    <t>K…l‡Ki bvg</t>
  </si>
  <si>
    <t>wcZvi bvg</t>
  </si>
  <si>
    <t>MÖvg</t>
  </si>
  <si>
    <t>‡gvevBj bs</t>
  </si>
  <si>
    <t>RvZxq cwiPqcÎ bs</t>
  </si>
  <si>
    <t>K…wl DcKiY mnvqZv KvW© bs</t>
  </si>
  <si>
    <t>‡gvU Rwgi cwigvb (kZvsk)</t>
  </si>
  <si>
    <t>‡ivcv Avgb Avev`K…Z Rwgi cwigvi (kZvsk)</t>
  </si>
  <si>
    <t>m¤¢e¨ Drcv`b</t>
  </si>
  <si>
    <t>শ্রী মানিক চন্দ্র</t>
  </si>
  <si>
    <t>শ্রী শুশিল চন্দ্র</t>
  </si>
  <si>
    <t>রাঘুনাথপুর</t>
  </si>
  <si>
    <t>৯৯ শতাংশ</t>
  </si>
  <si>
    <t>আবু সুফিয়ান</t>
  </si>
  <si>
    <t>আব্দুল করিম</t>
  </si>
  <si>
    <t>৮৩ শতাংশ</t>
  </si>
  <si>
    <t>কটু প্রাং</t>
  </si>
  <si>
    <t>নজরুল ইসলাম</t>
  </si>
  <si>
    <t>মুকুল প্রাং</t>
  </si>
  <si>
    <t>রস্তম আলী</t>
  </si>
  <si>
    <t>খোদা বক্স প্রাং</t>
  </si>
  <si>
    <t>আকালু মন্ডল</t>
  </si>
  <si>
    <t>রঘুনাথপুর</t>
  </si>
  <si>
    <t>৮০ শতাংশ</t>
  </si>
  <si>
    <t>ইমরান প্রাং</t>
  </si>
  <si>
    <t>আনসার আলী প্রাং</t>
  </si>
  <si>
    <t>মতিউর রহমান প্রাং</t>
  </si>
  <si>
    <t>তমজের আলী প্রাং</t>
  </si>
  <si>
    <t>১৩৩ শতাংশ</t>
  </si>
  <si>
    <t>ফয়েজ প্রাং</t>
  </si>
  <si>
    <t>৯০ শতাংশ</t>
  </si>
  <si>
    <t>সাফিউল মোল্লা</t>
  </si>
  <si>
    <t>ছলেমান মোল্লা</t>
  </si>
  <si>
    <t>খয়বর আলী</t>
  </si>
  <si>
    <t>ছলেমান আলী</t>
  </si>
  <si>
    <t>আনিসুর রহমান</t>
  </si>
  <si>
    <t>তমিজ উদ্দীন</t>
  </si>
  <si>
    <t>১০০ শতাংশ</t>
  </si>
  <si>
    <t>মজির প্রাং</t>
  </si>
  <si>
    <t>মজিবর রহমান</t>
  </si>
  <si>
    <t>পিয়ার বক্স শাহ্</t>
  </si>
  <si>
    <t>মালশিরা</t>
  </si>
  <si>
    <t>১৪০ শতাংশ</t>
  </si>
  <si>
    <t>রফিকুল ইসলাম</t>
  </si>
  <si>
    <t>আবদুস সামাদ</t>
  </si>
  <si>
    <t>রেজাউল ইসলাম</t>
  </si>
  <si>
    <t>ফয়েজ উদ্দীন</t>
  </si>
  <si>
    <t>সাদেকুল ইসলাম</t>
  </si>
  <si>
    <t>বিশু মন্ডল</t>
  </si>
  <si>
    <t>রফিকুল মোল্লা</t>
  </si>
  <si>
    <t>তাহার মোল্লা</t>
  </si>
  <si>
    <t>১২৫ শতাংশ</t>
  </si>
  <si>
    <t>সিতেন্দ্র নাথ</t>
  </si>
  <si>
    <t>ধীরেন্দ্র নাথ</t>
  </si>
  <si>
    <t>আদল পিয়াদা</t>
  </si>
  <si>
    <t>কফিল প্রাং</t>
  </si>
  <si>
    <t>কফিল উদ্দিন</t>
  </si>
  <si>
    <t>নিয়ামতুল্যা মন্ডল</t>
  </si>
  <si>
    <t>১৬৬ শতাংশ</t>
  </si>
  <si>
    <t>১৪৭ শতাংশ</t>
  </si>
  <si>
    <t>সাকিব উদ্দিন</t>
  </si>
  <si>
    <t>মুসলেম মন্ডল</t>
  </si>
  <si>
    <t>হারু মন্ডল</t>
  </si>
  <si>
    <t>খাইরুল ইসলাম</t>
  </si>
  <si>
    <t>আবুল কালাম</t>
  </si>
  <si>
    <t>সেকেন্দার আলী মন্ডল</t>
  </si>
  <si>
    <t>জামান মন্ডল</t>
  </si>
  <si>
    <t>মহির উদ্দিন</t>
  </si>
  <si>
    <t>ধানোরা</t>
  </si>
  <si>
    <t>লাল মোহাম্মদ</t>
  </si>
  <si>
    <t>৪৫০ শতাংশ</t>
  </si>
  <si>
    <t>অকির মোল্লা</t>
  </si>
  <si>
    <t>মছির উদ্দিন</t>
  </si>
  <si>
    <t>৮৫ শতাংশ</t>
  </si>
  <si>
    <t>মছির আলী</t>
  </si>
  <si>
    <t>জিতু মন্ডল</t>
  </si>
  <si>
    <t>ধড়িয়া মন্ডল</t>
  </si>
  <si>
    <t>দবির শাহ</t>
  </si>
  <si>
    <t>ইদ্রীস আলী</t>
  </si>
  <si>
    <t>নাদের আলী</t>
  </si>
  <si>
    <t>সমসের আলী</t>
  </si>
  <si>
    <t>রমজান দেওয়ান</t>
  </si>
  <si>
    <t>আবেদ আলী</t>
  </si>
  <si>
    <t>ওসমান মন্ডল</t>
  </si>
  <si>
    <t>আব্দুস সাত্তার</t>
  </si>
  <si>
    <t>আমীর হোসেন</t>
  </si>
  <si>
    <t>৭১ শতাংশ</t>
  </si>
  <si>
    <t>জয়নাল মন্ডল</t>
  </si>
  <si>
    <t>নূর বকস মন্ডল</t>
  </si>
  <si>
    <t>সায়েদ আলী</t>
  </si>
  <si>
    <t>১৭৫ শতাংশ</t>
  </si>
  <si>
    <t>২২৫ শতাংশ</t>
  </si>
  <si>
    <t>রহমতুল্ল্যা</t>
  </si>
  <si>
    <t>চকপ্রভুরাম</t>
  </si>
  <si>
    <t>তাহেরুল্যা প্রাং</t>
  </si>
  <si>
    <t>ছেফাতুল্লা</t>
  </si>
  <si>
    <t>চকসাজুরিয়া</t>
  </si>
  <si>
    <t>সেকেন্ডর মন্ডল</t>
  </si>
  <si>
    <t>ভাছ’ মন্ডল</t>
  </si>
  <si>
    <t>অবিনাশ চন্দ্র</t>
  </si>
  <si>
    <t>নরেন্দ্র চন্দ্র</t>
  </si>
  <si>
    <t>মির্জাপুর</t>
  </si>
  <si>
    <t>কালিশংকর প্রাং</t>
  </si>
  <si>
    <t>বিনোদ বিহারী</t>
  </si>
  <si>
    <t>রাজিবুল ইসলাম</t>
  </si>
  <si>
    <t>সাদ আক্কাশ</t>
  </si>
  <si>
    <t>ভবানীপুর</t>
  </si>
  <si>
    <t>আনিরুল ইসলাম</t>
  </si>
  <si>
    <t>ইলিয়াস আলী</t>
  </si>
  <si>
    <t>মমতাজ মন্ডল</t>
  </si>
  <si>
    <t>আব্দুল লতিফ</t>
  </si>
  <si>
    <t>আব্দুল খালেক</t>
  </si>
  <si>
    <t>আব্দুল খালেক বিশ্বাস</t>
  </si>
  <si>
    <t>সোহরাব আলী</t>
  </si>
  <si>
    <t>আব্দুল জলিল</t>
  </si>
  <si>
    <t>বকুল কুমার প্রাং</t>
  </si>
  <si>
    <t>ধীরেন্দ্র্র কুমার প্রাং</t>
  </si>
  <si>
    <t>সুরেশ চন্দ্র</t>
  </si>
  <si>
    <t>মন্টু চন্দ্র</t>
  </si>
  <si>
    <t>জমসেরপুর</t>
  </si>
  <si>
    <t>তাহের আলী</t>
  </si>
  <si>
    <t>রুস্তম মন্সী</t>
  </si>
  <si>
    <t>৭৫ শতাংশ</t>
  </si>
  <si>
    <t>মোসারফ হোসেন</t>
  </si>
  <si>
    <t>আব্দুল রউফ</t>
  </si>
  <si>
    <t>শ্রী বলরাম চন্দ্র</t>
  </si>
  <si>
    <t>৭০ শতাংশ</t>
  </si>
  <si>
    <t>শ্রী প্রদীপ সাহা</t>
  </si>
  <si>
    <t>শ্রী বিশ্বনাথ</t>
  </si>
  <si>
    <t>শ্রী মধু সাহা</t>
  </si>
  <si>
    <t>শ্রী পরিতোস সাহা</t>
  </si>
  <si>
    <t>তৈয়ব আলী</t>
  </si>
  <si>
    <t>মাদারীপুর</t>
  </si>
  <si>
    <t>১২০ শতাংশ</t>
  </si>
  <si>
    <t>সাগর মন্ডল</t>
  </si>
  <si>
    <t>সুলতান মন্ডল</t>
  </si>
  <si>
    <t>শফিকুল ইসলাম</t>
  </si>
  <si>
    <t>চান্দু মহাম্মদ</t>
  </si>
  <si>
    <t>৫৬৬ শতাংশ</t>
  </si>
  <si>
    <t>গোলাম মোস্তফা</t>
  </si>
  <si>
    <t>আব্দুর জাব্বার</t>
  </si>
  <si>
    <t>মনিরুল ইসলাম</t>
  </si>
  <si>
    <t>জহিরুল ইসলাম</t>
  </si>
  <si>
    <t>জেমাতুল্লা</t>
  </si>
  <si>
    <t>রুবেল উদ্দীন</t>
  </si>
  <si>
    <t>ইসমাইল হোসেন</t>
  </si>
  <si>
    <t>মজিবুর শেখ</t>
  </si>
  <si>
    <t>মেঘু শেখ</t>
  </si>
  <si>
    <t>ইলিয়াস মন্ডল</t>
  </si>
  <si>
    <t>মতিউর মন্ডল</t>
  </si>
  <si>
    <t>ছমির উদ্দিন মোল্লা</t>
  </si>
  <si>
    <t>দয়া মোল্লা</t>
  </si>
  <si>
    <t>১১৫ শতাংশ</t>
  </si>
  <si>
    <t>শ্রী সুফল</t>
  </si>
  <si>
    <t>শ্রী রমনী</t>
  </si>
  <si>
    <t>মাড়িয়া</t>
  </si>
  <si>
    <t>রিয়াজ উদ্দিন</t>
  </si>
  <si>
    <t>বকুল মোল্লা</t>
  </si>
  <si>
    <t>জবির মোল্লা</t>
  </si>
  <si>
    <t>আবুল কাশেম তপন</t>
  </si>
  <si>
    <t>আলী শেখ</t>
  </si>
  <si>
    <t>৯৫ শতাংশ</t>
  </si>
  <si>
    <t>জাহাঙ্গীর আলম</t>
  </si>
  <si>
    <t>তোসলিম আলী</t>
  </si>
  <si>
    <t>বিহারইল</t>
  </si>
  <si>
    <t>সাহাবুল ইসলাম</t>
  </si>
  <si>
    <t>মাহাবুল ইসলাম</t>
  </si>
  <si>
    <t>আল বারিক</t>
  </si>
  <si>
    <t>সাদিকুল ইসলাম</t>
  </si>
  <si>
    <t>তোসলেম উদ্দিন</t>
  </si>
  <si>
    <t>পেশকার আলী</t>
  </si>
  <si>
    <t>ওহাব আলী</t>
  </si>
  <si>
    <t>শ্রী অনাথ চন্দ্র দাস</t>
  </si>
  <si>
    <t>মেকর চন্দ্র দাস</t>
  </si>
  <si>
    <t>শ্রী পরেশ চন্দ্র</t>
  </si>
  <si>
    <t>শ্রী উৎপল চন্দ্র</t>
  </si>
  <si>
    <t>রাকিব আলী</t>
  </si>
  <si>
    <t>ইউসুফ আলী</t>
  </si>
  <si>
    <t>ইয়াচিন প্রামানিক</t>
  </si>
  <si>
    <t>বাছার আলী</t>
  </si>
  <si>
    <t>শুকুর আলী</t>
  </si>
  <si>
    <t>উৎপল চন্দ্র সাহা</t>
  </si>
  <si>
    <t>হীরেন্দ্রনাথ সাহা</t>
  </si>
  <si>
    <t>মুন্তাজ মন্ডল</t>
  </si>
  <si>
    <t>এজাবুল</t>
  </si>
  <si>
    <t>খোদাবক্স প্রাং</t>
  </si>
  <si>
    <t>সোনার উদ্দিন মন্ডল</t>
  </si>
  <si>
    <t>হৃদয় চন্দ্র</t>
  </si>
  <si>
    <t>আনিকুল ইসলাম</t>
  </si>
  <si>
    <t>আবু বাক্কার</t>
  </si>
  <si>
    <t>ঈসা প্রামানিক</t>
  </si>
  <si>
    <t>মতিউর রহমান</t>
  </si>
  <si>
    <t>সুমন আলী</t>
  </si>
  <si>
    <t>সিরাজ</t>
  </si>
  <si>
    <t>মিরাজুল ইসলাম</t>
  </si>
  <si>
    <t>মুসা প্রাং</t>
  </si>
  <si>
    <t>সুজন মন্ডল</t>
  </si>
  <si>
    <t>কার্র্তিক মন্ডল</t>
  </si>
  <si>
    <t>শ্রী অনাথ চন্দ্র</t>
  </si>
  <si>
    <t>শ্রী উপেন চন্দ্র</t>
  </si>
  <si>
    <t>কসিমুদ্দিন</t>
  </si>
  <si>
    <t>বরকত আলী</t>
  </si>
  <si>
    <t>আহম্মদ</t>
  </si>
  <si>
    <t>তাহির</t>
  </si>
  <si>
    <t>রুস্তম</t>
  </si>
  <si>
    <t>নেশ মোহাম্মদ</t>
  </si>
  <si>
    <t>রোস্তম আলী</t>
  </si>
  <si>
    <t>রুহুল আমিন</t>
  </si>
  <si>
    <t>রুস্তম আলী</t>
  </si>
  <si>
    <t>পলাশ চৌধূরী</t>
  </si>
  <si>
    <t>তাহের</t>
  </si>
  <si>
    <t>মিজানুর রহমান</t>
  </si>
  <si>
    <t>মজিব হোসেন</t>
  </si>
  <si>
    <t>আনন্দ সোহন</t>
  </si>
  <si>
    <t>মতিলাল</t>
  </si>
  <si>
    <t>আহাম্মদ</t>
  </si>
  <si>
    <t>হিরেন চন্দ্র প্রাং</t>
  </si>
  <si>
    <t>গোপাল প্রাং</t>
  </si>
  <si>
    <t>নসিতুল্লাহ</t>
  </si>
  <si>
    <t>আবু হায়াত</t>
  </si>
  <si>
    <t>সুবেশ চন্দ্র</t>
  </si>
  <si>
    <t>প্রফুল্ল</t>
  </si>
  <si>
    <t>শ্রী রমেন চন্দ্র</t>
  </si>
  <si>
    <t>হিরেন চন্দ্র</t>
  </si>
  <si>
    <t>জামাল হোসেন</t>
  </si>
  <si>
    <t>সামাদ হোসেন</t>
  </si>
  <si>
    <t>রজেন্দ্র</t>
  </si>
  <si>
    <t>অবিনাস</t>
  </si>
  <si>
    <t>আসরাফুল</t>
  </si>
  <si>
    <t>রহিম উদ্দীন</t>
  </si>
  <si>
    <t>খলিলুর রহমান</t>
  </si>
  <si>
    <t>মোজাহার</t>
  </si>
  <si>
    <t>তোবজুল</t>
  </si>
  <si>
    <t>কছিম উদ্দীন</t>
  </si>
  <si>
    <t>এমদাদুল হক</t>
  </si>
  <si>
    <t>ফিরোজ আলী</t>
  </si>
  <si>
    <t>আনুয়ার হোসেন</t>
  </si>
  <si>
    <t>নওসাদ আলী</t>
  </si>
  <si>
    <t>পবিতোশ সাহা</t>
  </si>
  <si>
    <t>শ্রী পদো</t>
  </si>
  <si>
    <t>শ্রী রাজেন্দ্র নাথ</t>
  </si>
  <si>
    <t>শ্রী উপেন নাথ</t>
  </si>
  <si>
    <t>আতাউর রহমান</t>
  </si>
  <si>
    <t>আহম্মেদ আলী</t>
  </si>
  <si>
    <t>আজাহার আলী</t>
  </si>
  <si>
    <t>লুকমান আলী</t>
  </si>
  <si>
    <t>শ্রী অজিত দাশ</t>
  </si>
  <si>
    <t>শ্রী নগেন্দ্র নাথ</t>
  </si>
  <si>
    <t>জীবন কুমার</t>
  </si>
  <si>
    <t>জিতেন্দ্র নাথ</t>
  </si>
  <si>
    <t>রমনী কান্ত সাহা</t>
  </si>
  <si>
    <t>রজনী কান্ত সাহা</t>
  </si>
  <si>
    <t>গোবিন্দ দাশ</t>
  </si>
  <si>
    <t>শ্রী মতি বেদনা রানী</t>
  </si>
  <si>
    <t>শ্রী রতন দাশ</t>
  </si>
  <si>
    <t>সুকোল চন্দ্র</t>
  </si>
  <si>
    <t>শ্রী রাম চন্দ্র</t>
  </si>
  <si>
    <t>মজিবুর রহমান</t>
  </si>
  <si>
    <t>সাজেমান আলী</t>
  </si>
  <si>
    <t>মাহাতাব</t>
  </si>
  <si>
    <t>রাম শংকর</t>
  </si>
  <si>
    <t>রসিদ আলী</t>
  </si>
  <si>
    <t>শ্রী দিলিপ কর্মকার</t>
  </si>
  <si>
    <t>সুব্রত কর্মকার</t>
  </si>
  <si>
    <t>শ্রী আনান্দ</t>
  </si>
  <si>
    <t>শ্রী বজেন চন্দ্র</t>
  </si>
  <si>
    <t>বিপুল কুমার</t>
  </si>
  <si>
    <t>রতন কুমার</t>
  </si>
  <si>
    <t>শ্রী হীরেন্দ্র নাথ</t>
  </si>
  <si>
    <t>বিশ্বনাথ</t>
  </si>
  <si>
    <t>সাফিউল</t>
  </si>
  <si>
    <t>হাসান আলী</t>
  </si>
  <si>
    <t>শ্রীমতি ভারাত রানী</t>
  </si>
  <si>
    <t>শ্রীকালি পদো</t>
  </si>
  <si>
    <t>শ্রী জিতেন চন্দ্র</t>
  </si>
  <si>
    <t>শ্রী শ্রামল চন্দ্র</t>
  </si>
  <si>
    <t>শ্রী জিতেন্দ্র নাথ</t>
  </si>
  <si>
    <t>বলরাম চন্দ্র</t>
  </si>
  <si>
    <t>বিপলব চৌধুরী</t>
  </si>
  <si>
    <t>তসলেম চৌধুরী</t>
  </si>
  <si>
    <t>ভবেন চন্দ্র প্রাং</t>
  </si>
  <si>
    <t>উপেন্দ্র নাথ</t>
  </si>
  <si>
    <t>সতেন্দ্র নাথ</t>
  </si>
  <si>
    <t>উপেন নাথ</t>
  </si>
  <si>
    <t>শ্রী অমল চন্দ্র</t>
  </si>
  <si>
    <t>রাম সংকর</t>
  </si>
  <si>
    <t>বিকাশ কুমার</t>
  </si>
  <si>
    <t>শ্রী গোপেন</t>
  </si>
  <si>
    <t>গোপাল চন্দ্র</t>
  </si>
  <si>
    <t>জিয়াউর রহমান</t>
  </si>
  <si>
    <t>হোসেন আলী</t>
  </si>
  <si>
    <t>হানিফ</t>
  </si>
  <si>
    <t>আমজাদ হোসেন</t>
  </si>
  <si>
    <t>নসুতুল্লাহ</t>
  </si>
  <si>
    <t>শ্রী দিজেন</t>
  </si>
  <si>
    <t>শ্রী গোপাল</t>
  </si>
  <si>
    <t>রতন কান্ত সাহা</t>
  </si>
  <si>
    <t>জসদা বালা</t>
  </si>
  <si>
    <t>প্রদীপ সাহা</t>
  </si>
  <si>
    <t>খালেদুর রহমান</t>
  </si>
  <si>
    <t>শ্রী কালি পদ</t>
  </si>
  <si>
    <t>রাজেন্দ্র নাথ</t>
  </si>
  <si>
    <t>মহিফুল ইসলাম</t>
  </si>
  <si>
    <t>সেতাব উদ্দীন</t>
  </si>
  <si>
    <t>তৈবুর ইসলাম</t>
  </si>
  <si>
    <t>সচিন্দ্র চন্দ্র</t>
  </si>
  <si>
    <t>শ্রী কাঞ্চন</t>
  </si>
  <si>
    <t>শ্রী মনিনুনাথ</t>
  </si>
  <si>
    <t>দেবল কুমার</t>
  </si>
  <si>
    <t>শ্রী সুবধ চন্দ্র</t>
  </si>
  <si>
    <t>শ্রীমতি দিপালী রানী</t>
  </si>
  <si>
    <t>শুকুল চন্দ্র প্রাং</t>
  </si>
  <si>
    <t>রবিনাস চন্দ্র</t>
  </si>
  <si>
    <t>মাসুম কবির</t>
  </si>
  <si>
    <t>সাইফুল ইসলাম</t>
  </si>
  <si>
    <t>শ্রী কার্তিক চন্দ্র পাং</t>
  </si>
  <si>
    <t>সন্তোস চন্দ্র প্রাং</t>
  </si>
  <si>
    <t>শ্রী হরিপদ সাহা</t>
  </si>
  <si>
    <t>শিরিশ চন্দ্র</t>
  </si>
  <si>
    <t>ইব্রাহীম আলী</t>
  </si>
  <si>
    <t>দেলোয়ার হোসেন</t>
  </si>
  <si>
    <t>সুরোমা চন্দ্র সাহা</t>
  </si>
  <si>
    <t>ললিত চন্দ্র সাহা</t>
  </si>
  <si>
    <t>চঞ্চল কুমার সাহা</t>
  </si>
  <si>
    <t>সুরেশ চন্দ্র সাহা</t>
  </si>
  <si>
    <t>আনারুল ইসলাম</t>
  </si>
  <si>
    <t>শ্রী সুকুমার চন্দ্র</t>
  </si>
  <si>
    <t>প্রফুল্ল চন্দ্র</t>
  </si>
  <si>
    <t>কাইফুল ইসলাম</t>
  </si>
  <si>
    <t>রইস উদ্দীন</t>
  </si>
  <si>
    <t>সাফিউল ইসলাম</t>
  </si>
  <si>
    <t>সাইদুল ইসলাম</t>
  </si>
  <si>
    <t>রিয়াজ আলী</t>
  </si>
  <si>
    <t>আহম্মদ আলী</t>
  </si>
  <si>
    <t>আহাম্মদ আলী</t>
  </si>
  <si>
    <t>সাজেমান</t>
  </si>
  <si>
    <t>মখলেছুর রহমান</t>
  </si>
  <si>
    <t>শরিয়তুল্যাহ</t>
  </si>
  <si>
    <t>ছলিম মন্ডল</t>
  </si>
  <si>
    <t>গমির মন্ডল</t>
  </si>
  <si>
    <t>আসাদুজ্জামান</t>
  </si>
  <si>
    <t>বাবুর সরদার</t>
  </si>
  <si>
    <t>মজিদ</t>
  </si>
  <si>
    <t>বাবুল সরদার</t>
  </si>
  <si>
    <t>চাঁন মোহাম্মদ</t>
  </si>
  <si>
    <t>জিল্লুর রহমান</t>
  </si>
  <si>
    <t>আব্দুর রহমান</t>
  </si>
  <si>
    <t>সেলিম রেজা</t>
  </si>
  <si>
    <t>আকসেদ আলী</t>
  </si>
  <si>
    <t>আজহার মন্ডল</t>
  </si>
  <si>
    <t>রিয়াজ সরদার</t>
  </si>
  <si>
    <t>জুয়েল রানা</t>
  </si>
  <si>
    <t>মাউন উদ্দীন</t>
  </si>
  <si>
    <t>বাবুল হোসেন</t>
  </si>
  <si>
    <t>হাতেম আলী</t>
  </si>
  <si>
    <t>কাদের আলী</t>
  </si>
  <si>
    <t>কেরামত মন্ডল</t>
  </si>
  <si>
    <t>খুদা বক্স মৃধা</t>
  </si>
  <si>
    <t>মজব আলী</t>
  </si>
  <si>
    <t>আলমগীর</t>
  </si>
  <si>
    <t>জাব্বার</t>
  </si>
  <si>
    <t>চকসাজুড়িয়া</t>
  </si>
  <si>
    <t>ছালাম মোল্লা</t>
  </si>
  <si>
    <t>ইয়াছিন</t>
  </si>
  <si>
    <t>সাইদুর রহমান</t>
  </si>
  <si>
    <t>সেরুল্ল্যা</t>
  </si>
  <si>
    <t>ছেফাতুল্ল্যা</t>
  </si>
  <si>
    <t>সবর মন্ডল</t>
  </si>
  <si>
    <t>তোফাজ্জল</t>
  </si>
  <si>
    <t>কাদের মন্ডল</t>
  </si>
  <si>
    <t>আশরাফউল আলম</t>
  </si>
  <si>
    <t>লজির</t>
  </si>
  <si>
    <t>তৈয়বুর রহমান</t>
  </si>
  <si>
    <t>বদের মন্ডল</t>
  </si>
  <si>
    <t>এজদুল</t>
  </si>
  <si>
    <t>খিরমন</t>
  </si>
  <si>
    <t>সোলাইমান</t>
  </si>
  <si>
    <t>ইন্তাজ আলী</t>
  </si>
  <si>
    <t>মানিকুল্ল্যা</t>
  </si>
  <si>
    <t>সুলতান</t>
  </si>
  <si>
    <t>জানিউল্লা</t>
  </si>
  <si>
    <t>সুলতান আলী</t>
  </si>
  <si>
    <t>মফিজ উদ্দীন</t>
  </si>
  <si>
    <t>তাইনুশ</t>
  </si>
  <si>
    <t>মোস্তাক হোসেন</t>
  </si>
  <si>
    <t>রফিকুল</t>
  </si>
  <si>
    <t>সাহেবজান</t>
  </si>
  <si>
    <t>সফর আলী</t>
  </si>
  <si>
    <t>এনতাজ আলী</t>
  </si>
  <si>
    <t>হারন চন্দ্র পন্ডিত</t>
  </si>
  <si>
    <t>সুদশন</t>
  </si>
  <si>
    <t>মজেদ আলী</t>
  </si>
  <si>
    <t>হারুন-আর-রশিদ</t>
  </si>
  <si>
    <t>শাহাবুদ্দিন</t>
  </si>
  <si>
    <t>শুকুর মন্ডল</t>
  </si>
  <si>
    <t>ইলিয়াস</t>
  </si>
  <si>
    <t>আব্দুল শুকুর</t>
  </si>
  <si>
    <t>রঙ্গলাল রনিক</t>
  </si>
  <si>
    <t>সহিমুদ্দিন</t>
  </si>
  <si>
    <t>আফসার আলী</t>
  </si>
  <si>
    <t>মহিদুর রহমান</t>
  </si>
  <si>
    <t>সোবহান</t>
  </si>
  <si>
    <t>নাইমুল হক</t>
  </si>
  <si>
    <t>ফানুস বিশ্বাস</t>
  </si>
  <si>
    <t>আনিবুল</t>
  </si>
  <si>
    <t>সেকেন্দার আলী</t>
  </si>
  <si>
    <t>তাইনুস আলী</t>
  </si>
  <si>
    <t>তমিজ উদ্দীণ</t>
  </si>
  <si>
    <t>বাবুল আক্তার</t>
  </si>
  <si>
    <t>মুনসুর রহমান</t>
  </si>
  <si>
    <t>আয়নাল</t>
  </si>
  <si>
    <t>হাবিবুর রহমান</t>
  </si>
  <si>
    <t>মোখলেসুর রহমান</t>
  </si>
  <si>
    <t>মকলেসুর রহমান</t>
  </si>
  <si>
    <t>মমতাজ উদ্দীন</t>
  </si>
  <si>
    <t>শামসুজ্জোহা</t>
  </si>
  <si>
    <t>ইদ্রীশ হোসেন</t>
  </si>
  <si>
    <t>সাকির হোসেন</t>
  </si>
  <si>
    <t>ওয়ারেশতুল্লা</t>
  </si>
  <si>
    <t>শহিদুল ইসলাম</t>
  </si>
  <si>
    <t>সবদর আলী</t>
  </si>
  <si>
    <t>শ্রী নাগর বনিক</t>
  </si>
  <si>
    <t>মিলন চন্দ্র প্রাং</t>
  </si>
  <si>
    <t>পরিপদ প্রাং</t>
  </si>
  <si>
    <t>নন্দন চন্দ্র প্রাং</t>
  </si>
  <si>
    <t>ফারুক হোসেন</t>
  </si>
  <si>
    <t>মশিউর রহমান</t>
  </si>
  <si>
    <t>সোহরাব</t>
  </si>
  <si>
    <t>গিয়াস উদ্দীন</t>
  </si>
  <si>
    <t>জাকির হোসেন</t>
  </si>
  <si>
    <t>শ্রী নিরঞ্জন রায়</t>
  </si>
  <si>
    <t>আকালু চন্দ্র</t>
  </si>
  <si>
    <t>শ্রী পুপদ পন্ডিত</t>
  </si>
  <si>
    <t>সুদশন পন্ডত</t>
  </si>
  <si>
    <t>পলাশ কুমার প্রাং</t>
  </si>
  <si>
    <t>ধীরেন্দ্রনাথ</t>
  </si>
  <si>
    <t>অসিত কুমার প্রাং</t>
  </si>
  <si>
    <t>কালীপদ</t>
  </si>
  <si>
    <t>শ্রী অসিম কুমার</t>
  </si>
  <si>
    <t>হারেন্দ্রনাথ</t>
  </si>
  <si>
    <t>ফজলুর রহমান</t>
  </si>
  <si>
    <t>রমজান আলী</t>
  </si>
  <si>
    <t>মোজ্জামেল হক</t>
  </si>
  <si>
    <t>তরিকুল ইসলাম</t>
  </si>
  <si>
    <t>আরিফ</t>
  </si>
  <si>
    <t>আজিজুল</t>
  </si>
  <si>
    <t>ইসরাফিল হোসেন</t>
  </si>
  <si>
    <t>তনিকুল ইসলাম</t>
  </si>
  <si>
    <t>সদের আলী</t>
  </si>
  <si>
    <t>অকির আলী</t>
  </si>
  <si>
    <t>ফজির মোল্লা</t>
  </si>
  <si>
    <t>আকিব মোল্লা</t>
  </si>
  <si>
    <t>সোবহার চৌধুরী</t>
  </si>
  <si>
    <t>সেকুর চৌধুরী</t>
  </si>
  <si>
    <t>কছের আলী</t>
  </si>
  <si>
    <t>বুধাই মন্ডল</t>
  </si>
  <si>
    <t>শামসুদ্দিন মন্ডল</t>
  </si>
  <si>
    <t>হায়াত আলী</t>
  </si>
  <si>
    <t>আরিপ প্রাং</t>
  </si>
  <si>
    <t>রজব আলী</t>
  </si>
  <si>
    <t>বছির প্রাং</t>
  </si>
  <si>
    <t>ছাইদুল মন্ডল</t>
  </si>
  <si>
    <t>রিয়াজ মন্ডল</t>
  </si>
  <si>
    <t>আরশাব আলী</t>
  </si>
  <si>
    <t>ইমান মন্ডল</t>
  </si>
  <si>
    <t>তৈবুর রহমান</t>
  </si>
  <si>
    <t>ছামান আলী</t>
  </si>
  <si>
    <t>দবির মোল্লা</t>
  </si>
  <si>
    <t>আজিজুল ইসলাম</t>
  </si>
  <si>
    <t>তাহির সরদার</t>
  </si>
  <si>
    <t>সাদেক আলী</t>
  </si>
  <si>
    <t>ছয়মুদ্দিন দেওয়ান</t>
  </si>
  <si>
    <t>আফসার</t>
  </si>
  <si>
    <t>মনজিলা</t>
  </si>
  <si>
    <t>মামুন হক</t>
  </si>
  <si>
    <t>মানজিলা মন্ডল</t>
  </si>
  <si>
    <t>আক্তার হোসেন</t>
  </si>
  <si>
    <t>নিজাম উদ্দীন</t>
  </si>
  <si>
    <t>রাজ্জাকুল মন্ডল</t>
  </si>
  <si>
    <t>মছির মন্ডল</t>
  </si>
  <si>
    <t>সাত্তার আলী</t>
  </si>
  <si>
    <t>কুমার আলী</t>
  </si>
  <si>
    <t>কছির উদ্দীণ প্রাং</t>
  </si>
  <si>
    <t>ইনামতুল্ল্যা প্রাং</t>
  </si>
  <si>
    <t>মকবুল হোসেন</t>
  </si>
  <si>
    <t>মনির সরকার</t>
  </si>
  <si>
    <t>গিয়াস উদ্দীন প্রাং</t>
  </si>
  <si>
    <t>ফয়েজ উদ্দীন প্রাং</t>
  </si>
  <si>
    <t>নূরো আলম</t>
  </si>
  <si>
    <t>আজিজুল হক</t>
  </si>
  <si>
    <t>ময়েন উদ্দীন</t>
  </si>
  <si>
    <t>মজিদুল ইসলাম</t>
  </si>
  <si>
    <t>জাহাঙ্গীর</t>
  </si>
  <si>
    <t>আব্দুল দেওয়ান</t>
  </si>
  <si>
    <t>নজর আলী</t>
  </si>
  <si>
    <t>নুরুল ইসলাম</t>
  </si>
  <si>
    <t>ইয়াছিন আলী</t>
  </si>
  <si>
    <t>আমিনুল ইসলাম</t>
  </si>
  <si>
    <t>লহর মন্ডল</t>
  </si>
  <si>
    <t>সাইফুদ্দিন</t>
  </si>
  <si>
    <t>ওসমান আলী</t>
  </si>
  <si>
    <t>হারেজ আলী</t>
  </si>
  <si>
    <t>গিয়াস মন্ডল</t>
  </si>
  <si>
    <t>খাতিজা খাতুন</t>
  </si>
  <si>
    <t>আক্তার হেসেন</t>
  </si>
  <si>
    <t>ফয়েজ মোল্লা</t>
  </si>
  <si>
    <t>কিরামুল হক</t>
  </si>
  <si>
    <t>ফছির উদ্দীন</t>
  </si>
  <si>
    <t>সুমাইয়া খাতুন</t>
  </si>
  <si>
    <t>রাসেল বুলবুল</t>
  </si>
  <si>
    <t>মোতালেব</t>
  </si>
  <si>
    <t>ইউনুস আলী</t>
  </si>
  <si>
    <t>মহবত মোল্লা</t>
  </si>
  <si>
    <t>তফিকুল ইসলাম</t>
  </si>
  <si>
    <t>ওমর মোল্লা</t>
  </si>
  <si>
    <t>শ্রী যুগল চন্দ্র</t>
  </si>
  <si>
    <t>রমনী কান্তো</t>
  </si>
  <si>
    <t>শ্রী লিটন চন্দ্র</t>
  </si>
  <si>
    <t>নেপাল</t>
  </si>
  <si>
    <t>সাজ্জাদ</t>
  </si>
  <si>
    <t>সিরাজুল</t>
  </si>
  <si>
    <t>মোস্তাক</t>
  </si>
  <si>
    <t>রাজ্জাক আলী</t>
  </si>
  <si>
    <t>আরশাদ</t>
  </si>
  <si>
    <t>রাজ্জাক</t>
  </si>
  <si>
    <t>রবি মন্ডল</t>
  </si>
  <si>
    <t>শ্রী নারায়র প্রাং</t>
  </si>
  <si>
    <t>বন্যেশ্বর প্রামানিক</t>
  </si>
  <si>
    <t>শ্রী হারান দাশ</t>
  </si>
  <si>
    <t>শ্রী রুহিনী</t>
  </si>
  <si>
    <t>শ্রী নয়ন চন্দ্র দাশ</t>
  </si>
  <si>
    <t>শ্রী কার্তিক দাশ</t>
  </si>
  <si>
    <t>শ্রী সত্যেন প্রাং</t>
  </si>
  <si>
    <t>ফিতীশ প্রাং</t>
  </si>
  <si>
    <t>শ্রী রবিন দাশ</t>
  </si>
  <si>
    <t>শ্রী রুহিনী দাশ</t>
  </si>
  <si>
    <t>আব্দুল কাশেম</t>
  </si>
  <si>
    <t>আফাজ উদ্দীন</t>
  </si>
  <si>
    <t>মুকুল উদ্দীন</t>
  </si>
  <si>
    <t>নুর মোহাম্মদ</t>
  </si>
  <si>
    <t>ঝড়– মন্ডল</t>
  </si>
  <si>
    <t>আহাদ মোল্লা</t>
  </si>
  <si>
    <t>গোপাল মোল্লা</t>
  </si>
  <si>
    <t>অজিত প্রামানিক</t>
  </si>
  <si>
    <t>শ্রী নিরেন প্রামানিক</t>
  </si>
  <si>
    <t>সতীশ প্রামানিক</t>
  </si>
  <si>
    <t>আবুল কাশেম (তপন)</t>
  </si>
  <si>
    <t>সোলেমান</t>
  </si>
  <si>
    <t>সাইদুর</t>
  </si>
  <si>
    <t>মোসারোপ</t>
  </si>
  <si>
    <t>সিরাজুল ইসলাম</t>
  </si>
  <si>
    <t>উৎপল চন্দ্র দাশ</t>
  </si>
  <si>
    <t>রমনী</t>
  </si>
  <si>
    <t>একরামুল</t>
  </si>
  <si>
    <t>ইয়াসিন</t>
  </si>
  <si>
    <t>কোওর আলী</t>
  </si>
  <si>
    <t>শফিকুল</t>
  </si>
  <si>
    <t>রিয়াজ উদ্দীন</t>
  </si>
  <si>
    <t>আনির শেখ</t>
  </si>
  <si>
    <t>শ্রী মনরোনঞ্জন</t>
  </si>
  <si>
    <t>যোগেন্দ্র নাথ</t>
  </si>
  <si>
    <t>জিয়ার মৃধা</t>
  </si>
  <si>
    <t>মতি মৃধা</t>
  </si>
  <si>
    <t>ফেলু মিয়া</t>
  </si>
  <si>
    <t>শ্রী পঞ্চম</t>
  </si>
  <si>
    <t>শ্রী সনজিত</t>
  </si>
  <si>
    <t>শ্রী আশুনাথ</t>
  </si>
  <si>
    <t>আকসার</t>
  </si>
  <si>
    <t>জায়ফুল ইসলাম</t>
  </si>
  <si>
    <t>টুনু মন্ডল</t>
  </si>
  <si>
    <t>ময়েজ উদ্দীন</t>
  </si>
  <si>
    <t>শ্রী জিতেন প্রাং</t>
  </si>
  <si>
    <t>লোকমান আলী</t>
  </si>
  <si>
    <t>আমজাদ</t>
  </si>
  <si>
    <t>শ্রী সিতেন চন্দ্র</t>
  </si>
  <si>
    <t>মহেন্দ্র নাথ</t>
  </si>
  <si>
    <t>শ্রী রিপন</t>
  </si>
  <si>
    <t>সিতেন</t>
  </si>
  <si>
    <t>বেসারু</t>
  </si>
  <si>
    <t>সাজ্জাদ আলী</t>
  </si>
  <si>
    <t>সুলতান মোল্লা</t>
  </si>
  <si>
    <t>জান মোহাম্মদ</t>
  </si>
  <si>
    <t>মোজাম্মেল</t>
  </si>
  <si>
    <t>এমাজ উদ্দীন</t>
  </si>
  <si>
    <t>তসলেম মন্ডল</t>
  </si>
  <si>
    <t>হোসেন মন্ডল</t>
  </si>
  <si>
    <t>শ্রী সুজান দাশ</t>
  </si>
  <si>
    <t>নগেন্দ্র দাশ</t>
  </si>
  <si>
    <t>জামাল উদ্দীন</t>
  </si>
  <si>
    <t>আপতাব</t>
  </si>
  <si>
    <t>শ্রী নিবারণ প্রাং</t>
  </si>
  <si>
    <t>সতীশ প্রাং</t>
  </si>
  <si>
    <t>হেরাজ উদ্দীন</t>
  </si>
  <si>
    <t>ইব্রাহিম</t>
  </si>
  <si>
    <t>দুরুল হোদা</t>
  </si>
  <si>
    <t>রেজাউল হক</t>
  </si>
  <si>
    <t>সিরাজ উদ্দীন</t>
  </si>
  <si>
    <t>চাঁন মোল্লা</t>
  </si>
  <si>
    <t>রমজান</t>
  </si>
  <si>
    <t>মোজাম্মল</t>
  </si>
  <si>
    <t>মসলেম উদ্দীন</t>
  </si>
  <si>
    <t>ইব্রাহিম মন্ডল</t>
  </si>
  <si>
    <t>সহরত</t>
  </si>
  <si>
    <t>সহরত আলী</t>
  </si>
  <si>
    <t>দিয়ানত আলী</t>
  </si>
  <si>
    <t>সোনাতন</t>
  </si>
  <si>
    <t>মোহাম্মদ আলী</t>
  </si>
  <si>
    <t>রনজিৎ দাশ</t>
  </si>
  <si>
    <t>নগেন্দ্র নাথ দাশ</t>
  </si>
  <si>
    <t>সোফাতুল্লা</t>
  </si>
  <si>
    <t>নূর মোহাম্মদ</t>
  </si>
  <si>
    <t>শ্রী কৃষ্ণ প্রামানিক</t>
  </si>
  <si>
    <t>শ্রী নারায়ন প্রাং</t>
  </si>
  <si>
    <t>আলাউদ্দিন</t>
  </si>
  <si>
    <t>খাবুরুদ্দিন</t>
  </si>
  <si>
    <t>শ্রী মুক্তার কুমার</t>
  </si>
  <si>
    <t>জলধার চন্দ্র দাশ</t>
  </si>
  <si>
    <t>শ্রী মানিক দাশ</t>
  </si>
  <si>
    <t>সোহেল রানা</t>
  </si>
  <si>
    <t>শীমতি শিউলি রানী</t>
  </si>
  <si>
    <t>শ্রী নিবোন প্রাং</t>
  </si>
  <si>
    <t>শী গোপাল</t>
  </si>
  <si>
    <t>শতীশ প্রামানিক</t>
  </si>
  <si>
    <t>দীন মোহাম্মদ</t>
  </si>
  <si>
    <t>দীন মোহাম্মদ আলী</t>
  </si>
  <si>
    <t>কেওর আলী মন্ডর</t>
  </si>
  <si>
    <t>ছমির উদ্দীন মোল্লা</t>
  </si>
  <si>
    <t>ইসরাইল</t>
  </si>
  <si>
    <t>শ্রী চন্দন কুমার</t>
  </si>
  <si>
    <t>নারায়ন সরকার</t>
  </si>
  <si>
    <t>ইমাজ উদ্দীন</t>
  </si>
  <si>
    <t>সেফাতুল্লা</t>
  </si>
  <si>
    <t>তমিজ মন্ডল</t>
  </si>
  <si>
    <t>আহাদ আলী</t>
  </si>
  <si>
    <t>ফইমুদ্দিন কাজী</t>
  </si>
  <si>
    <t>ফয়েজ কাজী</t>
  </si>
  <si>
    <t>মুনসেফ মন্ডল</t>
  </si>
  <si>
    <t>এরফান আলী</t>
  </si>
  <si>
    <t>আহসান মন্ডল</t>
  </si>
  <si>
    <t>হেফাজ মন্ডল</t>
  </si>
  <si>
    <t>হাবিল মন্ডল</t>
  </si>
  <si>
    <t>জোহাক মন্ডল</t>
  </si>
  <si>
    <t>এন্তাজ আলী</t>
  </si>
  <si>
    <t>ইসমাইল হোসন</t>
  </si>
  <si>
    <t>দশো মন্ডল</t>
  </si>
  <si>
    <t>সামিরুল প্রাং</t>
  </si>
  <si>
    <t>সমাতুল্যা</t>
  </si>
  <si>
    <t>আজিজ মন্ডল</t>
  </si>
  <si>
    <t>আজহার আলী</t>
  </si>
  <si>
    <t>ইয়াকুব আলী</t>
  </si>
  <si>
    <t>জার্জেস আলী</t>
  </si>
  <si>
    <t>নাজমুল ইসলাম</t>
  </si>
  <si>
    <t>রফাতুল্লাহ</t>
  </si>
  <si>
    <t>মুনতাজ মন্ডল</t>
  </si>
  <si>
    <t>সামশুল আলম</t>
  </si>
  <si>
    <t>সেরুল্যা</t>
  </si>
  <si>
    <t>শ্রী অমল চন্দ্র সাহা</t>
  </si>
  <si>
    <t>নিখিল চন্দ্র সাহা</t>
  </si>
  <si>
    <t>শাহাজাহান আলী</t>
  </si>
  <si>
    <t>ইশ্রাইল হোসেন</t>
  </si>
  <si>
    <t>ইয়াকুব</t>
  </si>
  <si>
    <t>সৈয়ব আলী</t>
  </si>
  <si>
    <t>আব্বর আলী</t>
  </si>
  <si>
    <t>ভেলু মন্ডল</t>
  </si>
  <si>
    <t>শ্রীমতি রপনা</t>
  </si>
  <si>
    <t>শ্রী নরেশ</t>
  </si>
  <si>
    <t>এবাদুল্লা প্রাং</t>
  </si>
  <si>
    <t>পায়কাম্বর আলী</t>
  </si>
  <si>
    <t>আশরাফুল আলী</t>
  </si>
  <si>
    <t>ইয়ানুস আলী</t>
  </si>
  <si>
    <t>ইয়কুব আলী মোল্লা</t>
  </si>
  <si>
    <t>জামাল চৌধুরী</t>
  </si>
  <si>
    <t>করিম চৌধুরী</t>
  </si>
  <si>
    <t>ছাদের আলী</t>
  </si>
  <si>
    <t>কছির মন্ডল</t>
  </si>
  <si>
    <t>হাফিজুর রহমান</t>
  </si>
  <si>
    <t>দিনু সরদার</t>
  </si>
  <si>
    <t>মুনসুর রহমান মৃধা</t>
  </si>
  <si>
    <t>মোজাম্মেল হক</t>
  </si>
  <si>
    <t>আব্বাশ আলী</t>
  </si>
  <si>
    <t>রহিম সোনার</t>
  </si>
  <si>
    <t>হারেজ আলী মোল্লা</t>
  </si>
  <si>
    <t>মুহাম্মদ আলী মন্ডল</t>
  </si>
  <si>
    <t>খলিল আলী</t>
  </si>
  <si>
    <t>জাবেদ আলী</t>
  </si>
  <si>
    <t>আলতাব উদ্দীন</t>
  </si>
  <si>
    <t>শ্রী প্রদীপ প্রাং</t>
  </si>
  <si>
    <t>কালিপদো প্রাং</t>
  </si>
  <si>
    <t>শ্রী কানাই প্রাং</t>
  </si>
  <si>
    <t>হরসুন্দর প্রাং</t>
  </si>
  <si>
    <t>শ্রী কালিপদো দাশ</t>
  </si>
  <si>
    <t>তছির মোল্লা</t>
  </si>
  <si>
    <t>সোভহান</t>
  </si>
  <si>
    <t>মুকলেছুর মৃধা</t>
  </si>
  <si>
    <t>মোজামেল মৃধা</t>
  </si>
  <si>
    <t>আরসাদ আলী</t>
  </si>
  <si>
    <t>আছির মন্ডল</t>
  </si>
  <si>
    <t>আলী মন্ডল</t>
  </si>
  <si>
    <t>মহির উদ্দীন</t>
  </si>
  <si>
    <t>কমল চন্দ্র সাহা</t>
  </si>
  <si>
    <t>নিখিল সাহা</t>
  </si>
  <si>
    <t>সামসুদ্দিন মোল্লা</t>
  </si>
  <si>
    <t>সোনাতন মোল্লা</t>
  </si>
  <si>
    <t>খোয়াবর মন্ডল</t>
  </si>
  <si>
    <t>আকছার মন্ডল</t>
  </si>
  <si>
    <t>আমির হোসেন</t>
  </si>
  <si>
    <t>খলির মন্ডল</t>
  </si>
  <si>
    <t>কামাল মন্ডল</t>
  </si>
  <si>
    <t>হেফাজ উদ্দীন</t>
  </si>
  <si>
    <t>সোনাকন মোল্লা</t>
  </si>
  <si>
    <t>নসিরুদ্দিন</t>
  </si>
  <si>
    <t>খলিরুর রহমান</t>
  </si>
  <si>
    <t>কবির মন্ডল</t>
  </si>
  <si>
    <t>কুছরত মন্ডল</t>
  </si>
  <si>
    <t>এনদ্দুল মন্ডল</t>
  </si>
  <si>
    <t>জাব্বার মন্ডল</t>
  </si>
  <si>
    <t>লথির মন্ডল</t>
  </si>
  <si>
    <t>শ্রী অমূল্য</t>
  </si>
  <si>
    <t>মোতাহার মৃধা</t>
  </si>
  <si>
    <t>ইশ্রাফিল চৌধুরী</t>
  </si>
  <si>
    <t>সোলেমান মন্ডল</t>
  </si>
  <si>
    <t>শ্রী প্রতাব চন্দ্র</t>
  </si>
  <si>
    <t>শ্রী প্রফুল্য চন্দ্র</t>
  </si>
  <si>
    <t>সামসুল মোল্লা</t>
  </si>
  <si>
    <t>অহিনুর সোনার</t>
  </si>
  <si>
    <t>আমিন সোনার</t>
  </si>
  <si>
    <t>তানিয়া খাতুন</t>
  </si>
  <si>
    <t>জেরু মন্ডল</t>
  </si>
  <si>
    <t>আব্বাস আলী</t>
  </si>
  <si>
    <t>রহিম আলী</t>
  </si>
  <si>
    <t>মনিরুল আসলাম</t>
  </si>
  <si>
    <t>আব্দুল হাকিম</t>
  </si>
  <si>
    <t>আব্দুল হারিস</t>
  </si>
  <si>
    <t>জোইমতুল্লা</t>
  </si>
  <si>
    <t>সাইম উদ্দীন</t>
  </si>
  <si>
    <t>তাছির উদ্দীন</t>
  </si>
  <si>
    <t>ইয়াদ আলী</t>
  </si>
  <si>
    <t>সুকুর মন্ডল</t>
  </si>
  <si>
    <t>লিখিল চন্দ্র</t>
  </si>
  <si>
    <t>সুনিল চন্দ্র</t>
  </si>
  <si>
    <t>মেছোর আলী</t>
  </si>
  <si>
    <t>মহামিন আলী</t>
  </si>
  <si>
    <t>বলি প্রামানিক</t>
  </si>
  <si>
    <t>সামশুদ্দীন প্রামানিক</t>
  </si>
  <si>
    <t>তাছির উদ্দীন প্রামানিক</t>
  </si>
  <si>
    <t>আবদুশ সোবহান</t>
  </si>
  <si>
    <t>তনজেব আলী</t>
  </si>
  <si>
    <t>তছলিম উদ্দীন</t>
  </si>
  <si>
    <t>আব্বাস প্রামানিক</t>
  </si>
  <si>
    <t>হাতেম প্রামানিক</t>
  </si>
  <si>
    <t>আইউব মোল্লা</t>
  </si>
  <si>
    <t>ছামান মোল্লা</t>
  </si>
  <si>
    <t>আছির উদ্দীন প্রাং</t>
  </si>
  <si>
    <t>তাছির উদ্দীন প্রাং</t>
  </si>
  <si>
    <t>আহসান আলী</t>
  </si>
  <si>
    <t>ইনদ আলী প্রাং</t>
  </si>
  <si>
    <t>জসিম উদ্দীন প্রাং</t>
  </si>
  <si>
    <t>সেন্টু প্রামানিক</t>
  </si>
  <si>
    <t>দেলোয়র হোসেন প্রাং</t>
  </si>
  <si>
    <t>ছলিম প্রাং</t>
  </si>
  <si>
    <t>সুলতান আলী প্রাং</t>
  </si>
  <si>
    <t>আকবর আলী</t>
  </si>
  <si>
    <t>সুকুর আলী</t>
  </si>
  <si>
    <t>হাসান আলী প্রাং</t>
  </si>
  <si>
    <t>সুুটুর আলী</t>
  </si>
  <si>
    <t>বদিউজ্জামান</t>
  </si>
  <si>
    <t>করিম প্রাং</t>
  </si>
  <si>
    <t>ইব্রাহিম আলী</t>
  </si>
  <si>
    <t>মফিজ প্রাং</t>
  </si>
  <si>
    <t>সজি প্রামানিক</t>
  </si>
  <si>
    <t>আজিজুল আসলাম</t>
  </si>
  <si>
    <t>তসলিম</t>
  </si>
  <si>
    <t>তজের আলী</t>
  </si>
  <si>
    <t>আব্দুল মন্ডল</t>
  </si>
  <si>
    <t>ইয়ানুস প্রাং</t>
  </si>
  <si>
    <t>মুকবুল প্রাং</t>
  </si>
  <si>
    <t>হালিম প্রাং</t>
  </si>
  <si>
    <t>আছার প্রাং</t>
  </si>
  <si>
    <t>জাকের উদ্দীন প্রাং</t>
  </si>
  <si>
    <t>মিঠুন প্রাং</t>
  </si>
  <si>
    <t>জোহের আলী প্রাং</t>
  </si>
  <si>
    <t>লাহার প্রাং</t>
  </si>
  <si>
    <t>নমির প্রাং</t>
  </si>
  <si>
    <t>বলি প্রাং</t>
  </si>
  <si>
    <t>আহম্ম্দ আলী</t>
  </si>
  <si>
    <t>বানু প্রাং</t>
  </si>
  <si>
    <t>আব্দুল করিম উদ্দীন</t>
  </si>
  <si>
    <t>ছলিম উদ্দীন</t>
  </si>
  <si>
    <t>সুকুর প্রাং</t>
  </si>
  <si>
    <t>ইদ্রীশ আলী</t>
  </si>
  <si>
    <t>আহম্মেদ</t>
  </si>
  <si>
    <t>শ্রী নিমল দাশ</t>
  </si>
  <si>
    <t>শ্রী নবকান্ত দাশ</t>
  </si>
  <si>
    <t>লিবারন</t>
  </si>
  <si>
    <t>শ্যামচরন</t>
  </si>
  <si>
    <t>মাজেদ আলী</t>
  </si>
  <si>
    <t>মেসের আলী</t>
  </si>
  <si>
    <t>স্বপন চন্দ্র প্রাং</t>
  </si>
  <si>
    <t>প্রানঠন প্রাং</t>
  </si>
  <si>
    <t>আসরাফুল ইনলাম</t>
  </si>
  <si>
    <t>গোবিন্দ্র চন্দ্র</t>
  </si>
  <si>
    <t>রাজেশ্বর</t>
  </si>
  <si>
    <t>বিরেন্দ্রনাথ</t>
  </si>
  <si>
    <t>তরনী কান্ড</t>
  </si>
  <si>
    <t>তারাপদো দাশ</t>
  </si>
  <si>
    <t>সবেস্বর</t>
  </si>
  <si>
    <t>শ্রী ত্রিনাথ দাশ</t>
  </si>
  <si>
    <t>বজেন্দ দাশ</t>
  </si>
  <si>
    <t>শ্রী নৃপেন্দ্র নাথ</t>
  </si>
  <si>
    <t>শ্রী সুবোল চন্দ্র দাশ</t>
  </si>
  <si>
    <t>নরেন চন্দ্র</t>
  </si>
  <si>
    <t>শ্রী আনন্দ মন্ডল</t>
  </si>
  <si>
    <t>কাঞ্চন প্রাং</t>
  </si>
  <si>
    <t>শ্রীকান্ত প্রাং</t>
  </si>
  <si>
    <t>পলি রানী</t>
  </si>
  <si>
    <t>বিস্বনাথ</t>
  </si>
  <si>
    <t>শ্যামল চন্দ্র দাশ</t>
  </si>
  <si>
    <t>সিকেন চন্দ্র দাশ</t>
  </si>
  <si>
    <t>বজেন্দ্রনাথ</t>
  </si>
  <si>
    <t>রূপরূপ কুমার</t>
  </si>
  <si>
    <t>ইসহাক আলী</t>
  </si>
  <si>
    <t>হিরেন্দ্রনাথ</t>
  </si>
  <si>
    <t>শয়ন চন্দ্র দাশ</t>
  </si>
  <si>
    <t>শ্রী নাথ</t>
  </si>
  <si>
    <t>ফরেজ উদ্দীন</t>
  </si>
  <si>
    <t>পরিমল কুমার</t>
  </si>
  <si>
    <t>সতীন দাশ</t>
  </si>
  <si>
    <t>আল মামুন</t>
  </si>
  <si>
    <t>কাশেম</t>
  </si>
  <si>
    <t>চন্দ্রবর্তী</t>
  </si>
  <si>
    <t>বৈদ্যনাথ</t>
  </si>
  <si>
    <t>রূপকুমার মন্ডল</t>
  </si>
  <si>
    <t>স্বপন কুমার সাহা</t>
  </si>
  <si>
    <t>বিনোদ</t>
  </si>
  <si>
    <t>সাহেব প্রামানিক</t>
  </si>
  <si>
    <t>আদম</t>
  </si>
  <si>
    <t>জগদিশ</t>
  </si>
  <si>
    <t>শিবচরন</t>
  </si>
  <si>
    <t>এরশাদ আলী</t>
  </si>
  <si>
    <t>সফিউল ইসলাম</t>
  </si>
  <si>
    <t>আসরাফুল ইসলাম</t>
  </si>
  <si>
    <t>অজিৎ মন্ডল</t>
  </si>
  <si>
    <t>শিবনাথ মন্ডল</t>
  </si>
  <si>
    <t>শ্রী ননী পোলাপ সাহা</t>
  </si>
  <si>
    <t>শ্রী লক্ষন সাহা</t>
  </si>
  <si>
    <t>আব্দুল কাসেম</t>
  </si>
  <si>
    <t>আব্দুল মালেক</t>
  </si>
  <si>
    <t>মোতালেব হোসেন</t>
  </si>
  <si>
    <t>নিখিল চন্দ্র মন্ডল</t>
  </si>
  <si>
    <t>অনিল চন্দ্র মন্ডল</t>
  </si>
  <si>
    <t>রূপ কুমার</t>
  </si>
  <si>
    <t>পূর্ন চন্দ্র সাহা</t>
  </si>
  <si>
    <t>হিরেন্দ্রনাথ প্রাং</t>
  </si>
  <si>
    <t>হরিচরন প্রাং</t>
  </si>
  <si>
    <t>মাসুদ রানা</t>
  </si>
  <si>
    <t>জারজিস আলী</t>
  </si>
  <si>
    <t>দুলাল মন্ডল</t>
  </si>
  <si>
    <t>রেজিনা বেগম</t>
  </si>
  <si>
    <t>সোহবার আলী</t>
  </si>
  <si>
    <t>পিন্টু ইসলাম</t>
  </si>
  <si>
    <t>আমেস মন্ডল</t>
  </si>
  <si>
    <t>শ্রীমন্ত স্হাা</t>
  </si>
  <si>
    <t>আবর আলী</t>
  </si>
  <si>
    <t>বেলাল প্রাং</t>
  </si>
  <si>
    <t>জামান মোল্লা</t>
  </si>
  <si>
    <t>হোসেন মোল্লা</t>
  </si>
  <si>
    <t>ইসরাইল প্রাং</t>
  </si>
  <si>
    <t>আব্বের আলী</t>
  </si>
  <si>
    <t>আব্দুর ছাত্তার</t>
  </si>
  <si>
    <t>আইয়ুব আলী</t>
  </si>
  <si>
    <t>মুনঞ্জুর রহমান</t>
  </si>
  <si>
    <t>বাহারাম আলী</t>
  </si>
  <si>
    <t>ইয়াচিন প্রাং</t>
  </si>
  <si>
    <t>আছির উদ্দীন</t>
  </si>
  <si>
    <t>হারো বেগম</t>
  </si>
  <si>
    <t>জয়নাল প্রাং</t>
  </si>
  <si>
    <t>হীরেন্দ্র সাহা</t>
  </si>
  <si>
    <t>মঞ্জুর মোল্লা</t>
  </si>
  <si>
    <t>হাবিল প্রাং</t>
  </si>
  <si>
    <t>আত্তাব আলী</t>
  </si>
  <si>
    <t>জামানী</t>
  </si>
  <si>
    <t>নাসির আলী</t>
  </si>
  <si>
    <t>মকবুল প্রাং</t>
  </si>
  <si>
    <t>জহির আলী</t>
  </si>
  <si>
    <t>আবুল প্রামানিক</t>
  </si>
  <si>
    <t>রূপচাঁন প্রামানিক</t>
  </si>
  <si>
    <t>সালাম হোসেন</t>
  </si>
  <si>
    <t>মজিবর হোসেন</t>
  </si>
  <si>
    <t>হাবিল প্রামানিক</t>
  </si>
  <si>
    <t>আদম আলী</t>
  </si>
  <si>
    <t>রহিদুল মোল্লা</t>
  </si>
  <si>
    <t>আবু তাহের</t>
  </si>
  <si>
    <t>তোলাপ প্রাং</t>
  </si>
  <si>
    <t>সোলাইমিন আলী</t>
  </si>
  <si>
    <t>সুরুত আলী</t>
  </si>
  <si>
    <t>তায়েজ উদ্দীন মন্ডল</t>
  </si>
  <si>
    <t>লোকমান আলী মন্ডল</t>
  </si>
  <si>
    <t>সুরুত আলী সোনার</t>
  </si>
  <si>
    <t>নাসির উদ্দীন মন্ডল</t>
  </si>
  <si>
    <t>আতিক উল্লা</t>
  </si>
  <si>
    <t>যোগেন আলী</t>
  </si>
  <si>
    <t>মোসলেম</t>
  </si>
  <si>
    <t>কামরুল ইসলাম</t>
  </si>
  <si>
    <t>মোসলেম মন্ডল</t>
  </si>
  <si>
    <t>সাইফুল আলম</t>
  </si>
  <si>
    <t>ভিমন্ত মুরমু</t>
  </si>
  <si>
    <t>মাইর্কেল মুরমু</t>
  </si>
  <si>
    <t>একদাদুল হক</t>
  </si>
  <si>
    <t>ওকাদেওয়ান</t>
  </si>
  <si>
    <t>শ্রী ভাদু চন্দ্র দাশ</t>
  </si>
  <si>
    <t>প্রতাব</t>
  </si>
  <si>
    <t>জাহান মন্ডল</t>
  </si>
  <si>
    <t>ফসির উদ্দীন</t>
  </si>
  <si>
    <t>সোলেমান আলী</t>
  </si>
  <si>
    <t>খিদির মন্ডল</t>
  </si>
  <si>
    <t>মেজাছ আলী</t>
  </si>
  <si>
    <t>মেবু মন্ডল</t>
  </si>
  <si>
    <t>আবুল কাসেম</t>
  </si>
  <si>
    <t>দুলাল চন্দ্র দাশ</t>
  </si>
  <si>
    <t>মুদিরাম চন্দ্র দাশ</t>
  </si>
  <si>
    <t>ইনতাজ আলী</t>
  </si>
  <si>
    <t>বাছের আলী</t>
  </si>
  <si>
    <t>ইছা আলী</t>
  </si>
  <si>
    <t>আব্দুশ সালাম</t>
  </si>
  <si>
    <t>সোলেমান শাহ</t>
  </si>
  <si>
    <t>শ্যামসুদ্দিন</t>
  </si>
  <si>
    <t>বহর আলী</t>
  </si>
  <si>
    <t>আলী প্রামানিক</t>
  </si>
  <si>
    <t>আবুল কাদের</t>
  </si>
  <si>
    <t>কফিল উদ্দীন</t>
  </si>
  <si>
    <t>বলরাম মারর্ডি</t>
  </si>
  <si>
    <t>শিব মারর্ডি</t>
  </si>
  <si>
    <t>আজিজুল মুরমু</t>
  </si>
  <si>
    <t>শ্যাম মুরমু</t>
  </si>
  <si>
    <t>মিস্ত্রি মুরমু</t>
  </si>
  <si>
    <t>লগো মুরমু</t>
  </si>
  <si>
    <t>শ্রী নিবারণ চন্দ্র</t>
  </si>
  <si>
    <t>শ্রী প্রতাপ চন্দ্র</t>
  </si>
  <si>
    <t>দেবেন মুরমু</t>
  </si>
  <si>
    <t>কেরাপ টুডু</t>
  </si>
  <si>
    <t>বিশ্বনাথ টুডু</t>
  </si>
  <si>
    <t>দিলিপ কুমার দাশ</t>
  </si>
  <si>
    <t>দেবেন্দ্র নাথ</t>
  </si>
  <si>
    <t>শ্রী অজিত কুমার</t>
  </si>
  <si>
    <t>শ্রী সত্যচরণ</t>
  </si>
  <si>
    <t>মুনছুর আলী</t>
  </si>
  <si>
    <t>আলিম উদ্দীন</t>
  </si>
  <si>
    <t>তয়েজ উদ্দীন</t>
  </si>
  <si>
    <t>নুরুজামান ফটিক</t>
  </si>
  <si>
    <t>নওসের আলী</t>
  </si>
  <si>
    <t>মহাসিন আলী</t>
  </si>
  <si>
    <t>জাহানারা বেগম</t>
  </si>
  <si>
    <t>আফির মন্ডল</t>
  </si>
  <si>
    <t>নারগিশ বেগম</t>
  </si>
  <si>
    <t>সামসুদ্দিন</t>
  </si>
  <si>
    <t>জিনাতুল্লামন্ডল</t>
  </si>
  <si>
    <t>ময়েজ মন্ডল</t>
  </si>
  <si>
    <t>মানিক ব্যাপাড়ী</t>
  </si>
  <si>
    <t>দুলাল ব্যাপাড়ী</t>
  </si>
  <si>
    <t>সাইদুর রহমার</t>
  </si>
  <si>
    <t>জহির মন্ডল</t>
  </si>
  <si>
    <t>নাসির উদ্দীন</t>
  </si>
  <si>
    <t>আলীম উদ্দীন</t>
  </si>
  <si>
    <t>হাসিনা বিবি</t>
  </si>
  <si>
    <t>আফজাল হোসেন</t>
  </si>
  <si>
    <t>বিনয় চন্দ্র দাশ</t>
  </si>
  <si>
    <t>ধীরেন চন্দ্র দাশ</t>
  </si>
  <si>
    <t>তালামই মরমু</t>
  </si>
  <si>
    <t>মাইবুকল টুডু</t>
  </si>
  <si>
    <t>সাখাওয়াত হোসেন</t>
  </si>
  <si>
    <t>বয়েজ উদ্দীন</t>
  </si>
  <si>
    <t>শ্রী সাধু বেরজন</t>
  </si>
  <si>
    <t>মুনসি সরেন</t>
  </si>
  <si>
    <t>ইদ্রিশ আলী</t>
  </si>
  <si>
    <t>তহির উদ্দীন</t>
  </si>
  <si>
    <t>জসীম উদ্দীন</t>
  </si>
  <si>
    <t>ছালাম আলী</t>
  </si>
  <si>
    <t>আজিজুল হক বাবলু</t>
  </si>
  <si>
    <t>লবির উদ্দীন</t>
  </si>
  <si>
    <t>নগর মোল্লা</t>
  </si>
  <si>
    <t>মেহাদ আলী</t>
  </si>
  <si>
    <t>সুরাপ আলী</t>
  </si>
  <si>
    <t>হানিফ প্রাং</t>
  </si>
  <si>
    <t>নাজিম উদ্দীন</t>
  </si>
  <si>
    <t>ছাইদুল ইসলাম</t>
  </si>
  <si>
    <t>ছবের আলী</t>
  </si>
  <si>
    <t>আনোয়ার হোসেন</t>
  </si>
  <si>
    <t>কফিল</t>
  </si>
  <si>
    <t>আতিকুর রহমান</t>
  </si>
  <si>
    <t>নোমেজ সাহা</t>
  </si>
  <si>
    <t>ভাদু চংদার</t>
  </si>
  <si>
    <t>শ্রী সুদের</t>
  </si>
  <si>
    <t>খগেন চন্দ্র</t>
  </si>
  <si>
    <t>সাক্তার প্রাং</t>
  </si>
  <si>
    <t>সামান আলী</t>
  </si>
  <si>
    <t>আমির মন্ডল</t>
  </si>
  <si>
    <t>নূর বক্স</t>
  </si>
  <si>
    <t>ইয়ার আলী</t>
  </si>
  <si>
    <t>ছামান মন্ডল</t>
  </si>
  <si>
    <t>খশবর আলী</t>
  </si>
  <si>
    <t>জহির উদ্দীন</t>
  </si>
  <si>
    <t>ওয়াহেদ আলী</t>
  </si>
  <si>
    <t>ওহামদে আলী</t>
  </si>
  <si>
    <t>মুকবুল গাজী</t>
  </si>
  <si>
    <t>মঙ্গলা গাজী</t>
  </si>
  <si>
    <t>তাহির উদ্দীন</t>
  </si>
  <si>
    <t>নুর বক্স</t>
  </si>
  <si>
    <t>বাসার আলী</t>
  </si>
  <si>
    <t>গরিবুল্লা</t>
  </si>
  <si>
    <t>অনিল কুমার দাশ</t>
  </si>
  <si>
    <t>সত্য চরন</t>
  </si>
  <si>
    <t>শ্রী কাজল দাশ</t>
  </si>
  <si>
    <t>ভাদু চন্দ্র দাশ</t>
  </si>
  <si>
    <t>বেলাল উদ্দিন</t>
  </si>
  <si>
    <t>মৃত মঙ্গলা</t>
  </si>
  <si>
    <t>ধীরেন চন্দ্র</t>
  </si>
  <si>
    <t>শিরিগ চন্দ্র</t>
  </si>
  <si>
    <t>নিজামপুর</t>
  </si>
  <si>
    <t>মবুল্লা মুন্না</t>
  </si>
  <si>
    <t>তছর মুন্না</t>
  </si>
  <si>
    <t>ছাঐড়</t>
  </si>
  <si>
    <t>রবিউল ইসলাম</t>
  </si>
  <si>
    <t>আকির উদ্দিন</t>
  </si>
  <si>
    <t>মৃত ফকির</t>
  </si>
  <si>
    <t>সাজ্জাক আলী</t>
  </si>
  <si>
    <t>এমাজ উদ্দিন</t>
  </si>
  <si>
    <t>হরিপুর</t>
  </si>
  <si>
    <t>মকসেদ আলী</t>
  </si>
  <si>
    <t>তরি মন্ডল</t>
  </si>
  <si>
    <t>কাদিরপুর</t>
  </si>
  <si>
    <t>কাজল প্রাং</t>
  </si>
  <si>
    <t>চাঁন প্রাং</t>
  </si>
  <si>
    <t>আনছার আলী</t>
  </si>
  <si>
    <t>পিয়ার আলী</t>
  </si>
  <si>
    <t>আহাদ বক্স</t>
  </si>
  <si>
    <t>মৃত ইদির</t>
  </si>
  <si>
    <t>দূর্গাপুর</t>
  </si>
  <si>
    <t>সামাদ</t>
  </si>
  <si>
    <t>পাড়িলো</t>
  </si>
  <si>
    <t>সেলিম আলী</t>
  </si>
  <si>
    <t>বেলাল আলী</t>
  </si>
  <si>
    <t>আশরাফ</t>
  </si>
  <si>
    <t>আলতাব</t>
  </si>
  <si>
    <t>হাতিলাইল</t>
  </si>
  <si>
    <t>আসলেম</t>
  </si>
  <si>
    <t>কুতুব উদ্দিন</t>
  </si>
  <si>
    <t>বারঘরিয়া</t>
  </si>
  <si>
    <t>অকির উদ্দিন</t>
  </si>
  <si>
    <t>আবুল হোসেন</t>
  </si>
  <si>
    <t>মোবারক</t>
  </si>
  <si>
    <t>হাতিনান্দা</t>
  </si>
  <si>
    <t>বনি ইসলাম</t>
  </si>
  <si>
    <t>ভুজন কুমার</t>
  </si>
  <si>
    <t>রামেন্দ্রনাথ</t>
  </si>
  <si>
    <t>মজিদুল হক</t>
  </si>
  <si>
    <t>ফসি উদ্দিন</t>
  </si>
  <si>
    <t>মুজাম্মেল হক</t>
  </si>
  <si>
    <t>কেফাতুল্লা</t>
  </si>
  <si>
    <t>জাফর আলী</t>
  </si>
  <si>
    <t>তজির</t>
  </si>
  <si>
    <t>৪৫ শতাংশ</t>
  </si>
  <si>
    <t>জসিম উদ্দিন</t>
  </si>
  <si>
    <t>নুর নবী</t>
  </si>
  <si>
    <t>সৌয়দ আলী</t>
  </si>
  <si>
    <t>মনির মন্ডল</t>
  </si>
  <si>
    <t>নজরুল</t>
  </si>
  <si>
    <t>ইসলাম আলী</t>
  </si>
  <si>
    <t>মফিজ উদ্দিন</t>
  </si>
  <si>
    <t>সামসুল মুন্না</t>
  </si>
  <si>
    <t>শফিউল ইসলাম</t>
  </si>
  <si>
    <t>ভাদু মন্ডল</t>
  </si>
  <si>
    <t>লবির উদ্দিন</t>
  </si>
  <si>
    <t>মনির প্রাং</t>
  </si>
  <si>
    <t>ফজলু</t>
  </si>
  <si>
    <t>নাদির কারিগর</t>
  </si>
  <si>
    <t>ছাদের কারিগর</t>
  </si>
  <si>
    <t>বিপুল চন্দ্র</t>
  </si>
  <si>
    <t>কার্ত্তিক চন্দ্র</t>
  </si>
  <si>
    <t>ইসাহাক</t>
  </si>
  <si>
    <t>ফয়েজ উদ্দিন</t>
  </si>
  <si>
    <t>আমিরুল ইসলাম</t>
  </si>
  <si>
    <t>স্বপন কুমার</t>
  </si>
  <si>
    <t>গিয়াস উদ্দিন</t>
  </si>
  <si>
    <t>শহিদুল নবী</t>
  </si>
  <si>
    <t>সাহেব আলী</t>
  </si>
  <si>
    <t>পরমেজ আলী</t>
  </si>
  <si>
    <t>আয়ুব আলী</t>
  </si>
  <si>
    <t>অজয় কুমার</t>
  </si>
  <si>
    <t>তুজাম্মেল হক</t>
  </si>
  <si>
    <t>মোস্তফা</t>
  </si>
  <si>
    <t>মুনতাজ আলী</t>
  </si>
  <si>
    <t>ময়েজ উদ্দিন</t>
  </si>
  <si>
    <t>রামকান্ত মন্ডল</t>
  </si>
  <si>
    <t>রহিনা কান্ত</t>
  </si>
  <si>
    <t>শাসসুল হক</t>
  </si>
  <si>
    <t>এনায়েতুল্লাহ</t>
  </si>
  <si>
    <t>আফাজ মন্ডল</t>
  </si>
  <si>
    <t>ফকির মন্ডল</t>
  </si>
  <si>
    <t>বিপুল অধিকারী</t>
  </si>
  <si>
    <t>কৃষ্ণ চরন</t>
  </si>
  <si>
    <t>৬০ শতাংশ</t>
  </si>
  <si>
    <t>মুঞ্জুর হোসেন</t>
  </si>
  <si>
    <t>ছাদের হোসেন</t>
  </si>
  <si>
    <t>সুজন সরকার</t>
  </si>
  <si>
    <t>নারায়ন</t>
  </si>
  <si>
    <t>সাগর কুমার</t>
  </si>
  <si>
    <t>নিরেন্দ্রনাথ</t>
  </si>
  <si>
    <t>অবিন্ত কুমার</t>
  </si>
  <si>
    <t>বীরেন্দ্রনাথ</t>
  </si>
  <si>
    <t>রাজনন্দ</t>
  </si>
  <si>
    <t>উজর মন্ডল</t>
  </si>
  <si>
    <t>ইমান খাঁ</t>
  </si>
  <si>
    <t>রিতা বেগম</t>
  </si>
  <si>
    <t>ফজলুর</t>
  </si>
  <si>
    <t>কবির উদ্দিন</t>
  </si>
  <si>
    <t>ফযেজ উদ্দিন</t>
  </si>
  <si>
    <t>জামাল সোনার</t>
  </si>
  <si>
    <t>ছামেদ আলী</t>
  </si>
  <si>
    <t>সুজন প্রাং</t>
  </si>
  <si>
    <t>অমূল্য প্রাং</t>
  </si>
  <si>
    <t>মোহাম্মদ</t>
  </si>
  <si>
    <t>বিনয় চন্দ্র</t>
  </si>
  <si>
    <t>বন বিহারী</t>
  </si>
  <si>
    <t>বরকতুল্লাহ</t>
  </si>
  <si>
    <t>জব্বার সোনার</t>
  </si>
  <si>
    <t>সৈফাতউল্লা</t>
  </si>
  <si>
    <t>সাহাজামাল</t>
  </si>
  <si>
    <t>রহিম মন্ডল</t>
  </si>
  <si>
    <t>প্রদীপ মন্ডল</t>
  </si>
  <si>
    <t>রামচন্দ্র</t>
  </si>
  <si>
    <t>সুফি কামাল</t>
  </si>
  <si>
    <t>সাহাদাত</t>
  </si>
  <si>
    <t>দ্বিবন্দু সরকার</t>
  </si>
  <si>
    <t>দ্বিজেন্দ্রনাথ</t>
  </si>
  <si>
    <t>ছামাদ আলী</t>
  </si>
  <si>
    <t>আজিজুর</t>
  </si>
  <si>
    <t>মৃত সুলেমান</t>
  </si>
  <si>
    <t>আবুল ফজল</t>
  </si>
  <si>
    <t>মৃত লেপুর মন্ডল</t>
  </si>
  <si>
    <t>মোহাম্মদআলীপুর</t>
  </si>
  <si>
    <t>পাড়িশো</t>
  </si>
  <si>
    <t>হাতিশাইল</t>
  </si>
  <si>
    <t>অম্বিকা মন্ডল</t>
  </si>
  <si>
    <t>মৃত নন্দগোপাল সরকার</t>
  </si>
  <si>
    <t>তাহের উদ্দিন মন্ডল</t>
  </si>
  <si>
    <t>শ্রীধর মন্ডল</t>
  </si>
  <si>
    <t>০১৭৫২-২৫৮৬৫৯</t>
  </si>
  <si>
    <t>মৃত ময়েজ উদ্দীন সোনার</t>
  </si>
  <si>
    <t>০১৭২৩-৩৪২২০৮</t>
  </si>
  <si>
    <t>০১৭২১-২০৬৯৯৬</t>
  </si>
  <si>
    <t>মৃত সহিমুদ্দিন মিঞা</t>
  </si>
  <si>
    <t>০১৭১৪-৬৬৭৯৫১</t>
  </si>
  <si>
    <t>০১৭২০-৯২৮০১৫</t>
  </si>
  <si>
    <t>০১৭৬৮-৫৪৪১৫০</t>
  </si>
  <si>
    <t>০১৭৬৩-০৭১৮৮৪</t>
  </si>
  <si>
    <t>০১৭১৫-২৩৪৪২৭</t>
  </si>
  <si>
    <t>০১৭০৬-৮৩৮৫২৪</t>
  </si>
  <si>
    <t>০১৭১৫-২৭৪৪২৭</t>
  </si>
  <si>
    <t>০১৭১৩-৭০২১১১</t>
  </si>
  <si>
    <t>টকটকিয়াপাড়া</t>
  </si>
  <si>
    <t>মৃত জানিফ তালুকদার</t>
  </si>
  <si>
    <t>KvgviMvu</t>
  </si>
  <si>
    <t>Avbviæj</t>
  </si>
  <si>
    <t>bvivqb</t>
  </si>
  <si>
    <t>byiæj</t>
  </si>
  <si>
    <t>nviæb</t>
  </si>
  <si>
    <t>bvwRg</t>
  </si>
  <si>
    <t>Qv‡bvqviv</t>
  </si>
  <si>
    <t>Avqvb wgi</t>
  </si>
  <si>
    <t>gnv‡`ecyi</t>
  </si>
  <si>
    <t>wgjb</t>
  </si>
  <si>
    <t>g‡bvin&amp;Rb</t>
  </si>
  <si>
    <t>MvsnvwU</t>
  </si>
  <si>
    <t>wmgv ivbx</t>
  </si>
  <si>
    <t>wicb Kzgvi</t>
  </si>
  <si>
    <t>`y¯Íivgcyi</t>
  </si>
  <si>
    <t>k¨vgvc`</t>
  </si>
  <si>
    <t>myaxi P›`ª</t>
  </si>
  <si>
    <t>nvweeyi</t>
  </si>
  <si>
    <t>GbZvR</t>
  </si>
  <si>
    <t>kÖªxLÛv</t>
  </si>
  <si>
    <t>wPËiÄb</t>
  </si>
  <si>
    <t>kÖvgvc`</t>
  </si>
  <si>
    <t>AvkvjZv</t>
  </si>
  <si>
    <t>mÄq Kzgvi cvi</t>
  </si>
  <si>
    <t>mgi P›`ª</t>
  </si>
  <si>
    <t>kÖxLÛv</t>
  </si>
  <si>
    <t>‡gvt Avqvb gxi</t>
  </si>
  <si>
    <t>‡gvt Pv›`y gxi</t>
  </si>
  <si>
    <t>‡gvt nv‡mb Avjx</t>
  </si>
  <si>
    <t>‡gvt e‡qb mi`vi</t>
  </si>
  <si>
    <t>নিলিমা</t>
  </si>
  <si>
    <t>রাজেন্দ্রনাথ</t>
  </si>
  <si>
    <t>মিলন</t>
  </si>
  <si>
    <t>রবীন্দ্রনাথ</t>
  </si>
  <si>
    <t>শ্রীমতি : সুষমা রানী</t>
  </si>
  <si>
    <t>শ্রী : রতন</t>
  </si>
  <si>
    <t>মো: মিরাজ মন্ডল</t>
  </si>
  <si>
    <t>মো: মালেক</t>
  </si>
  <si>
    <t>মোসা: মমেনা বেগম</t>
  </si>
  <si>
    <t>মো: সোনাতন</t>
  </si>
  <si>
    <t>মো: আ: সালাম</t>
  </si>
  <si>
    <t>মো: মোজাফ্ফর</t>
  </si>
  <si>
    <t>মোসা: ফরিদা বেগম</t>
  </si>
  <si>
    <t>মো: আনোয়ার</t>
  </si>
  <si>
    <t>মো: মফিজ</t>
  </si>
  <si>
    <t>মো: সামসুদ্দিন</t>
  </si>
  <si>
    <t>মো: আক্কাস</t>
  </si>
  <si>
    <t>মো: জাহাঙ্গীর</t>
  </si>
  <si>
    <t>মো: সবের আলী</t>
  </si>
  <si>
    <t>মো: আমজাদ</t>
  </si>
  <si>
    <t>মো: সাইফুল</t>
  </si>
  <si>
    <t>মো: বেলাল উদ্দিন</t>
  </si>
  <si>
    <t>মো: সিরাজ উদ্দিন</t>
  </si>
  <si>
    <t>মো: আইনাল হক</t>
  </si>
  <si>
    <t>মো: আফসার</t>
  </si>
  <si>
    <t>মো: মুনসুর আলী</t>
  </si>
  <si>
    <t>মো: কুসব আলী</t>
  </si>
  <si>
    <t>মো: ইমান সরদার</t>
  </si>
  <si>
    <t>মো: আবু বাক্কার</t>
  </si>
  <si>
    <t>মো: জমসেদ আলী</t>
  </si>
  <si>
    <t>মো: রিয়াজ উদ্দিন</t>
  </si>
  <si>
    <t>মো: কুসব</t>
  </si>
  <si>
    <t>মো: ওসমান আলী</t>
  </si>
  <si>
    <t>মো: সোলাইমান</t>
  </si>
  <si>
    <t>মো: আইনুল হক</t>
  </si>
  <si>
    <t>মো: মজিবুর রহমান</t>
  </si>
  <si>
    <t>মো: সবের</t>
  </si>
  <si>
    <t>মো: আক্কাস আলী</t>
  </si>
  <si>
    <t>মো: রফিকুল ইসলাম</t>
  </si>
  <si>
    <t>মো: মুক্তার হোসেন</t>
  </si>
  <si>
    <t>মো: মোজাম্মেল হক</t>
  </si>
  <si>
    <t>মো: আসকর আলী</t>
  </si>
  <si>
    <t>মো: মাসেম আলী</t>
  </si>
  <si>
    <t>মো: ওয়াহেদ আলী</t>
  </si>
  <si>
    <t>মো: আ: রশিদ</t>
  </si>
  <si>
    <t>মো: মানিক সরদার</t>
  </si>
  <si>
    <t>মো: আজিজুর রহমান</t>
  </si>
  <si>
    <t>মো: আ: জব্বার</t>
  </si>
  <si>
    <t>মো: কুতুব উদ্দিন</t>
  </si>
  <si>
    <t>মো: ইমাম সরদার</t>
  </si>
  <si>
    <t>মো: জাভেদ আলী</t>
  </si>
  <si>
    <t>মো: খিদির পাইক</t>
  </si>
  <si>
    <t>মো: মেহেদী হাসান</t>
  </si>
  <si>
    <t>মো: আতাউর রহমান</t>
  </si>
  <si>
    <t>মো: শহিদুল ইসলাম</t>
  </si>
  <si>
    <t>মো: জায়েদ আলী</t>
  </si>
  <si>
    <t>মো: আশাদুল মোল্লা</t>
  </si>
  <si>
    <t>মো: মোকবুল মোল্লা</t>
  </si>
  <si>
    <t>শ্রী: রিপন কুমার</t>
  </si>
  <si>
    <t>শ্রী: কাজল কুমার</t>
  </si>
  <si>
    <t>মোসা: ফাতেমা বেগম</t>
  </si>
  <si>
    <t>মো: মনতাজ চৌধুরী</t>
  </si>
  <si>
    <t>মো: শিমলা মৃধা</t>
  </si>
  <si>
    <t>মো: রবিউল ইসলাম</t>
  </si>
  <si>
    <t>মো: মিলন মৃধা</t>
  </si>
  <si>
    <t>মো: মসলেম মৃধা</t>
  </si>
  <si>
    <t>মো: মনির উদ্দিন</t>
  </si>
  <si>
    <t>মো: ইউনুস আলী</t>
  </si>
  <si>
    <t>মো: আনিসুর রহমান</t>
  </si>
  <si>
    <t>মো: লালমন</t>
  </si>
  <si>
    <t>মো: লিলু মন্ডল</t>
  </si>
  <si>
    <t>মো:  হদু মন্ডল</t>
  </si>
  <si>
    <t>মোসা: নাসিমা বেগম</t>
  </si>
  <si>
    <t>শ্রী: নির্মল চন্দ্র</t>
  </si>
  <si>
    <t>শ্রী: বিনয় চন্দ্র</t>
  </si>
  <si>
    <t>মো: তোতা মন্ডল</t>
  </si>
  <si>
    <t>মো: খাইরুল ইসলাম</t>
  </si>
  <si>
    <t>মো: আ: করিম</t>
  </si>
  <si>
    <t>মো: নাসির উদ্দিন</t>
  </si>
  <si>
    <t>মো: কাশেম</t>
  </si>
  <si>
    <t>মো: হাসান আলী</t>
  </si>
  <si>
    <t>মোসা: জাহানারা বেগম</t>
  </si>
  <si>
    <t>মো: খাজিম উদ্দিন</t>
  </si>
  <si>
    <t>মো: লালচান</t>
  </si>
  <si>
    <t>মো: আব্বাছ আলী</t>
  </si>
  <si>
    <t>মো: বাদল মন্ডল</t>
  </si>
  <si>
    <t>মো: রফাতুল্লা</t>
  </si>
  <si>
    <t>মো: আব্দুর রাজ্জাক</t>
  </si>
  <si>
    <t>মো: বেলাল হোসেন সরদার</t>
  </si>
  <si>
    <t>মো: বেলাল সরকার</t>
  </si>
  <si>
    <t>মো: বকিবুল্লা সরকার</t>
  </si>
  <si>
    <t>শ্রী: বাচ্চু দাস</t>
  </si>
  <si>
    <t>শ্রী: শৈলেন্দ্র নাশ</t>
  </si>
  <si>
    <t>শ্রীমতি: ববি রানী</t>
  </si>
  <si>
    <t>শ্রীমতি: মমতা দাস</t>
  </si>
  <si>
    <t>শ্রী: বিধান কুমার</t>
  </si>
  <si>
    <t>শ্রী: শৈলেন্দ্র</t>
  </si>
  <si>
    <t>মো: জয়নাল</t>
  </si>
  <si>
    <t>মো: চান্দু মীর</t>
  </si>
  <si>
    <t>শ্রী: নন্দন কুমার</t>
  </si>
  <si>
    <t>মো: রাজেন্দ্রনাথ</t>
  </si>
  <si>
    <t>মোসা: সুফিয়া বেগম</t>
  </si>
  <si>
    <t>মো: নিজাম উদ্দিন</t>
  </si>
  <si>
    <t>মো: হাবিবুর রহমান</t>
  </si>
  <si>
    <t>মো: মুঞ্জুর আলী</t>
  </si>
  <si>
    <t>মো: মোবারক হোসেন</t>
  </si>
  <si>
    <t>মো: বরকতুল্লা</t>
  </si>
  <si>
    <t>মোসা: মালেকা বেগম</t>
  </si>
  <si>
    <t>মোসা: মনোয়ারা বেগম</t>
  </si>
  <si>
    <t>মো: রমজান আলী</t>
  </si>
  <si>
    <t>মো: মজিবর রহমান</t>
  </si>
  <si>
    <t>মো: কায়েম উদ্দিন</t>
  </si>
  <si>
    <t>মো: আ: কাদের</t>
  </si>
  <si>
    <t>মো: আ: জব্বার আলী</t>
  </si>
  <si>
    <t>মো: জয়েন আলী</t>
  </si>
  <si>
    <t>মোসা: আসমা বেগম</t>
  </si>
  <si>
    <t>মো: মুনছুর আলী</t>
  </si>
  <si>
    <t>মো: খেজমতুল্লা</t>
  </si>
  <si>
    <t>শ্রীমতি: চামেলী</t>
  </si>
  <si>
    <t>শ্রী: অজিদ কুমার</t>
  </si>
  <si>
    <t>শ্রী: সিতেন চন্দ্র</t>
  </si>
  <si>
    <t>শ্রী: সুখেন চন্দ্র</t>
  </si>
  <si>
    <t>মো: মতিন উদ্দিন</t>
  </si>
  <si>
    <t>মো: ফারাতুল্ল</t>
  </si>
  <si>
    <t>মো: আসাদ আলী</t>
  </si>
  <si>
    <t>মোসা: জৈনোফা বিবি</t>
  </si>
  <si>
    <t>মো: আমিরুল ইসলাম</t>
  </si>
  <si>
    <t>মো: আসকান আলী</t>
  </si>
  <si>
    <t>মো: সফিকুল ইসলাম</t>
  </si>
  <si>
    <t>মোসা: রাসিদা বেগম</t>
  </si>
  <si>
    <t>মো: নাজিম উদ্দিন</t>
  </si>
  <si>
    <t>মো: রহিম আলী</t>
  </si>
  <si>
    <t>মো: মসলেম আলী</t>
  </si>
  <si>
    <t>মো:  মেহের আলী</t>
  </si>
  <si>
    <t>মো: রেজাউল ইসলাম</t>
  </si>
  <si>
    <t>মো: আ: রহিম</t>
  </si>
  <si>
    <t>মোসা: উম্মে জহুরা বেগম</t>
  </si>
  <si>
    <t>মো: রশিদ আলী</t>
  </si>
  <si>
    <t>মো: মমতাজ</t>
  </si>
  <si>
    <t>মো: আনারুল ইসলাম</t>
  </si>
  <si>
    <t>মো: আনোয়ার হোসেন</t>
  </si>
  <si>
    <t>মো: মাহাবুর রহমান</t>
  </si>
  <si>
    <t>মো: এমরান আলী</t>
  </si>
  <si>
    <t>শ্রী: বিশ্বনাথ</t>
  </si>
  <si>
    <t>শ্রী: বিপদ ভন জন</t>
  </si>
  <si>
    <t>মো: আজিজুরল হক</t>
  </si>
  <si>
    <t>মো: তরিকুল্লা</t>
  </si>
  <si>
    <t>মো: আ: সাত্তার</t>
  </si>
  <si>
    <t>মো: আ: সামাদ</t>
  </si>
  <si>
    <t>মো: আবন আলী</t>
  </si>
  <si>
    <t>মো: মোশারফ করিম</t>
  </si>
  <si>
    <t>মো: তোফাজ্জল হোসেন</t>
  </si>
  <si>
    <t>মো: সেফাতুল্লা</t>
  </si>
  <si>
    <t>মো: রেজাউল হক</t>
  </si>
  <si>
    <t>মো: শফিকুল ইসলাম</t>
  </si>
  <si>
    <t>মো: কুতুব আলী</t>
  </si>
  <si>
    <t>মো: ওহিদুল ইসলাম</t>
  </si>
  <si>
    <t>মো: এমদাদুল হক</t>
  </si>
  <si>
    <t>মো: সফিউল ইসলাম</t>
  </si>
  <si>
    <t>মো: হাতেম আলী</t>
  </si>
  <si>
    <t>মো: হেলাল উদ্দিন</t>
  </si>
  <si>
    <t>মো: আজাদ আলী</t>
  </si>
  <si>
    <t>মো: সোহেল রানা</t>
  </si>
  <si>
    <t>মো: আমির উদ্দিন</t>
  </si>
  <si>
    <t>মোসা: নুরনাহার বেগম</t>
  </si>
  <si>
    <t>মো: মফিজ উদ্দিন</t>
  </si>
  <si>
    <t>মো: ডাবলু</t>
  </si>
  <si>
    <t>মো: মঞ্জিল</t>
  </si>
  <si>
    <t>মো: জামাল</t>
  </si>
  <si>
    <t>মো: লাহাব</t>
  </si>
  <si>
    <t>মোসা: সবজান বেগম</t>
  </si>
  <si>
    <t>মো: আফছার আলী</t>
  </si>
  <si>
    <t>মো: আলাউদ্দিন</t>
  </si>
  <si>
    <t>মো: ফাবাতুল্লা</t>
  </si>
  <si>
    <t>মো: আলতাব আলী</t>
  </si>
  <si>
    <t>শ্রী: পরেশ চন্দ্র</t>
  </si>
  <si>
    <t>শ্রী: শতিশ চন্দ্র</t>
  </si>
  <si>
    <t>মো: হামেদ আলী</t>
  </si>
  <si>
    <t>মো: হাদু আলী</t>
  </si>
  <si>
    <t>মো: জমির উদ্দিন</t>
  </si>
  <si>
    <t>মোসা: রোকেয়া বেগম</t>
  </si>
  <si>
    <t>মো: এনতাজ আলী</t>
  </si>
  <si>
    <t>মো: আমান</t>
  </si>
  <si>
    <t>মো: সাহাবুদ্দিন</t>
  </si>
  <si>
    <t>মোসা: পারুল বেগম</t>
  </si>
  <si>
    <t>শ্রী: সুমেশ চন্দ্র</t>
  </si>
  <si>
    <t>শ্রী: ক্ষিকিশ চন্দ্র</t>
  </si>
  <si>
    <t>শ্রী: হরিপদ কুমার</t>
  </si>
  <si>
    <t>মো: সুলতান আলী</t>
  </si>
  <si>
    <t>মো: রাকিব</t>
  </si>
  <si>
    <t>মোসা: আমেনা বেগম</t>
  </si>
  <si>
    <t>শ্রী: বিনয় কৃষ্ণদাস</t>
  </si>
  <si>
    <t>শ্রী: রমনি</t>
  </si>
  <si>
    <t>মোসা: সাবিয়া আক্তার</t>
  </si>
  <si>
    <t>মো: মজিদুল ইসলাম</t>
  </si>
  <si>
    <t>মো: সেফাত আলী</t>
  </si>
  <si>
    <t>মো: আব্দুল আলিম</t>
  </si>
  <si>
    <t>মো: সালাম</t>
  </si>
  <si>
    <t>মো: শুকুর আলী</t>
  </si>
  <si>
    <t>মো: সাজ্জাদ আলী</t>
  </si>
  <si>
    <t>মো: খোকা</t>
  </si>
  <si>
    <t>মো: মাইনুল ইসলাম</t>
  </si>
  <si>
    <t>মো: মমিনুর রহমান</t>
  </si>
  <si>
    <t>মোসা: বিবিজান</t>
  </si>
  <si>
    <t>মো: আনছার আলী</t>
  </si>
  <si>
    <t>মো: রুবেল</t>
  </si>
  <si>
    <t>মো:  নজিবর</t>
  </si>
  <si>
    <t>মো: কলিম উদ্দিন</t>
  </si>
  <si>
    <t>মো: কচি উদ্দিন</t>
  </si>
  <si>
    <t>মো: আফসার আলী</t>
  </si>
  <si>
    <t>মো: আজিজ</t>
  </si>
  <si>
    <t>শ্রী: নারায়ন</t>
  </si>
  <si>
    <t>মো: নিজাম আলী</t>
  </si>
  <si>
    <t>মো: রহেদ আলী</t>
  </si>
  <si>
    <t>মো: মনসুর আলী</t>
  </si>
  <si>
    <t>মো: ইব্রাহিম</t>
  </si>
  <si>
    <t>মো: নুজরুল ইসলাম</t>
  </si>
  <si>
    <t>মো: আনিসু রহমান</t>
  </si>
  <si>
    <t>মো: সদ্দিক আলী</t>
  </si>
  <si>
    <t>মো: লহর আলী</t>
  </si>
  <si>
    <t>মো: মিজানুর রহমান</t>
  </si>
  <si>
    <t>মোসা: রোফিয়া বেগম</t>
  </si>
  <si>
    <t>মো: আ: ওহাব</t>
  </si>
  <si>
    <t>মো: কুদরোত আলী</t>
  </si>
  <si>
    <t>মো: খলিল উদ্দিন</t>
  </si>
  <si>
    <t>মো: আ: আজিজ</t>
  </si>
  <si>
    <t>মো: আব্দর রহিম</t>
  </si>
  <si>
    <t>মো: আবু সুফিয়ান</t>
  </si>
  <si>
    <t>মো: রকিব আলী</t>
  </si>
  <si>
    <t>মো: মতিউল রহমান</t>
  </si>
  <si>
    <t>মোসা: নাদিরা বেগম</t>
  </si>
  <si>
    <t>মো: আয়ুব আলী</t>
  </si>
  <si>
    <t>মো: আ: হানিফ</t>
  </si>
  <si>
    <t>মো: রইচ উদ্দিন</t>
  </si>
  <si>
    <t>মো: সাইদুল ইসলাম</t>
  </si>
  <si>
    <t>মো: মোকবুল হোসেন</t>
  </si>
  <si>
    <t>মো:  বছির উদ্দিন</t>
  </si>
  <si>
    <t>মো: উজ্জল ইসলাম</t>
  </si>
  <si>
    <t>মো: তফাজুল ইসলাম</t>
  </si>
  <si>
    <t>মোসা: নাজমা বেগম</t>
  </si>
  <si>
    <t>মো: মোহাম্মদ মতিউর</t>
  </si>
  <si>
    <t>মোসা: আফজালুন</t>
  </si>
  <si>
    <t>মো: হারান আলী</t>
  </si>
  <si>
    <t>মো:</t>
  </si>
  <si>
    <t>মো: সাইদুর ইসলাম</t>
  </si>
  <si>
    <t>মো: তাহের আলী</t>
  </si>
  <si>
    <t>শ্রী: মনোরঞ্জন</t>
  </si>
  <si>
    <t>শ্রী: হারান চন্দ্র</t>
  </si>
  <si>
    <t>মো: ইউসুফ আলী</t>
  </si>
  <si>
    <t>মো: আমির আলী</t>
  </si>
  <si>
    <t>শ্রী: রতন কুমার</t>
  </si>
  <si>
    <t>শ্রী: রঞ্জন ্আলী</t>
  </si>
  <si>
    <t>মো: মকছেদ আলী</t>
  </si>
  <si>
    <t>মো: জালাল হোসন</t>
  </si>
  <si>
    <t>মো: আসাদুল্লা</t>
  </si>
  <si>
    <t>মো: কাশেম আলী</t>
  </si>
  <si>
    <t>মো: নজরুল ইসলাম</t>
  </si>
  <si>
    <t>মো: আ: রহমান</t>
  </si>
  <si>
    <t>মো: জেহের আলী</t>
  </si>
  <si>
    <t>মো: সাদিকুল ইসলাম</t>
  </si>
  <si>
    <t>মো: শামসুদ্দিন</t>
  </si>
  <si>
    <t>শ্রী: সন্তোষ চন্দ্র</t>
  </si>
  <si>
    <t>মো: ক্ষিতিশ চন্দ্র</t>
  </si>
  <si>
    <t>মো: আশরাফ আলী</t>
  </si>
  <si>
    <t>মো: কামাল হোসেন</t>
  </si>
  <si>
    <t>মো: দিয়ানত আলী</t>
  </si>
  <si>
    <t>মো: আলমগীর</t>
  </si>
  <si>
    <t>শ্রী: নিখিল চন্দ্র</t>
  </si>
  <si>
    <t>শ্রী: ব্রজেন্দ্রনাতথ চন্দ্র</t>
  </si>
  <si>
    <t>মো: ইব্রাহিম আলী</t>
  </si>
  <si>
    <t>মো: আম্বর আলী</t>
  </si>
  <si>
    <t>মো: বাবর আলী</t>
  </si>
  <si>
    <t>মো: তসলিম</t>
  </si>
  <si>
    <t>মো: সালাম আলী</t>
  </si>
  <si>
    <t>মো: মুসলেম ইসলাম</t>
  </si>
  <si>
    <t>মো: আদিম ইসলাম</t>
  </si>
  <si>
    <t>মো: শেকু মৃধা</t>
  </si>
  <si>
    <t>মো: সাহেব আলী</t>
  </si>
  <si>
    <t>মো: সলেমান ইসলাম</t>
  </si>
  <si>
    <t>মোসা: আবেদা বেগম</t>
  </si>
  <si>
    <t>মো: জালাল আলী</t>
  </si>
  <si>
    <t>মো: ইয়ানুচ আলী</t>
  </si>
  <si>
    <t>মো: ফাবাতুল্লা আলী</t>
  </si>
  <si>
    <t>মো: মুবাদুল ইসলাম</t>
  </si>
  <si>
    <t>মো: আজিজুর ইসলাম</t>
  </si>
  <si>
    <t>মো: সুফি কামাল</t>
  </si>
  <si>
    <t>মো: মোখলেসুর রহমান</t>
  </si>
  <si>
    <t>মো: রশিদ রহমান</t>
  </si>
  <si>
    <t>শ্রী: মনোতষ চন্দ্র</t>
  </si>
  <si>
    <t>শ্রী: ক্ষিতিশ চন্দ্র</t>
  </si>
  <si>
    <t>মো: টিপু ইসলাম</t>
  </si>
  <si>
    <t>মো: আনিকুল্লা হক</t>
  </si>
  <si>
    <t>মো: জিতু ইসলাম</t>
  </si>
  <si>
    <t>মো: বিদন ইসলাম</t>
  </si>
  <si>
    <t>মো: জৈয়মত হক</t>
  </si>
  <si>
    <t>মো: জালাল উদ্দিন</t>
  </si>
  <si>
    <t>মো: রশিদ উদ্দিন</t>
  </si>
  <si>
    <t>মো: মান্নান আলী</t>
  </si>
  <si>
    <t>মো: শরিফুল ইসলাম</t>
  </si>
  <si>
    <t>মো: নছির উদ্দিন</t>
  </si>
  <si>
    <t>মো: লস্কর আলী</t>
  </si>
  <si>
    <t>মো: কোমর আলী</t>
  </si>
  <si>
    <t>মো: হারুন মন্ডল</t>
  </si>
  <si>
    <t>মো: আনসার আলী</t>
  </si>
  <si>
    <t>মো: একরামুল হক</t>
  </si>
  <si>
    <t>মো: এনামুল হক</t>
  </si>
  <si>
    <t>মো: সুমঙ্গল</t>
  </si>
  <si>
    <t>মো: দেবেন সরকার</t>
  </si>
  <si>
    <t>মো: হান্নান শেখ</t>
  </si>
  <si>
    <t>মো: মফিজ আলী</t>
  </si>
  <si>
    <t>মো: আবু বক্কার</t>
  </si>
  <si>
    <t>মো: সাত্তার আলী</t>
  </si>
  <si>
    <t>মো: জব্বার আলী</t>
  </si>
  <si>
    <t>মো: সাহিদুল নবী</t>
  </si>
  <si>
    <t>মো: নুর নবী</t>
  </si>
  <si>
    <t>মোসা: জাহান্নারা বেগম</t>
  </si>
  <si>
    <t>মো: তোফাজ্জল  ইসলাম</t>
  </si>
  <si>
    <t>মো: ময়েজ উদ্দিন</t>
  </si>
  <si>
    <t>মো: মঞ্জিল ইসলাম</t>
  </si>
  <si>
    <t>মো: আবু বক্কর</t>
  </si>
  <si>
    <t>মো: শামসুল হক</t>
  </si>
  <si>
    <t>মো: শাখাতুল্লা</t>
  </si>
  <si>
    <t>শ্রী: বাবুল চন্দ্র</t>
  </si>
  <si>
    <t>শ্রী: অধীর চন্দ্র</t>
  </si>
  <si>
    <t>মো: তছির উদ্দিন</t>
  </si>
  <si>
    <t>মো: তৌফিকুল ইসলাম</t>
  </si>
  <si>
    <t>মো: তোফাজ্জল ইসলাম</t>
  </si>
  <si>
    <t>মোসা: মমতাজ বেগম</t>
  </si>
  <si>
    <t>মো: জাহাঙ্গীর আলম</t>
  </si>
  <si>
    <t>মো: দুলাল হোসেন</t>
  </si>
  <si>
    <t>মো: বেলাল</t>
  </si>
  <si>
    <t>মোসা: রেবা বেগম</t>
  </si>
  <si>
    <t>মোসা: বাদলী বেগম</t>
  </si>
  <si>
    <t>মো: নইমুদ্দিন</t>
  </si>
  <si>
    <t>মো: আকবর আলী</t>
  </si>
  <si>
    <t>মো: জেসু মন্ডল</t>
  </si>
  <si>
    <t>মো: সেফাতুল্লা মন্ডল</t>
  </si>
  <si>
    <t>মো: ভোলাই</t>
  </si>
  <si>
    <t>মো: মকবুল হোসেন</t>
  </si>
  <si>
    <t>মো: আজাদ</t>
  </si>
  <si>
    <t>মো: শাহাদত</t>
  </si>
  <si>
    <t>মো: সাখায়াত হোসেন</t>
  </si>
  <si>
    <t>মো: ব্রজেন্দ্রনাথ</t>
  </si>
  <si>
    <t>মো: বিহারী</t>
  </si>
  <si>
    <t>মো: ইনসাব</t>
  </si>
  <si>
    <t>মো: ইয়ানুচ</t>
  </si>
  <si>
    <t>মো: রহমতুল্লা</t>
  </si>
  <si>
    <t>মো: এম এ কাদের</t>
  </si>
  <si>
    <t>মৃ: আসকান</t>
  </si>
  <si>
    <t>মো: কুদরোতুল্লা</t>
  </si>
  <si>
    <t>মো: মুসলেম আলী</t>
  </si>
  <si>
    <t>মো: পিয়ার আলী</t>
  </si>
  <si>
    <t>মো: নাজমুল ইসলাম</t>
  </si>
  <si>
    <t>মো: সরিফুল</t>
  </si>
  <si>
    <t>মো:  বকুল সরকার</t>
  </si>
  <si>
    <t>মো: মজিবর সরকার</t>
  </si>
  <si>
    <t>মো: রাজ্জাক আলী</t>
  </si>
  <si>
    <t>মো:  করিম বক্স</t>
  </si>
  <si>
    <t>মো: সহিদুল ইসলাম</t>
  </si>
  <si>
    <t>মো:  আহাম্মদ আলী</t>
  </si>
  <si>
    <t>মো: রয়েল  ইসলাম</t>
  </si>
  <si>
    <t>মো: মনিরুদ্দিন</t>
  </si>
  <si>
    <t>মো: আচেন আলী</t>
  </si>
  <si>
    <t>মো: সাজাহান আলী</t>
  </si>
  <si>
    <t>মো:  আমিনুল  ইসলাম</t>
  </si>
  <si>
    <t>মো: ইজার ইসলাম</t>
  </si>
  <si>
    <t>মো: গাজি আহেম্মেদ</t>
  </si>
  <si>
    <t>মো: মকছেদ আহাম্মেদ</t>
  </si>
  <si>
    <t>মো: পলি সরকার</t>
  </si>
  <si>
    <t>মো:  চেরু প্রামানিক</t>
  </si>
  <si>
    <t>মো: আব্বাছ</t>
  </si>
  <si>
    <t>মো: ইয়ার আলী</t>
  </si>
  <si>
    <t>মো:  বাবুল ইসলাম</t>
  </si>
  <si>
    <t>মো: করিম ইসলাম</t>
  </si>
  <si>
    <t>মো: নসিব আলী</t>
  </si>
  <si>
    <t>মো: তমিজ আলী</t>
  </si>
  <si>
    <t>মো: মিজানুর আলী</t>
  </si>
  <si>
    <t>মো: মজিদ আলী</t>
  </si>
  <si>
    <t>মো: ডারিম সরকার</t>
  </si>
  <si>
    <t>মো: ইসমাইল সরকার</t>
  </si>
  <si>
    <t>মো:  সিকুর আলী</t>
  </si>
  <si>
    <t>মো: আতব আলী</t>
  </si>
  <si>
    <t>মো: আবুসাইদ আলী</t>
  </si>
  <si>
    <t>মো: আতর আলী</t>
  </si>
  <si>
    <t>মো: আলাউদ্দিন আলী</t>
  </si>
  <si>
    <t>মো: কুব্বাস আলী</t>
  </si>
  <si>
    <t>মো: তৈজুর ইসলাম</t>
  </si>
  <si>
    <t>মো: মজের ইসলাম</t>
  </si>
  <si>
    <t>মো:  হাফিছুর রহমান</t>
  </si>
  <si>
    <t>মো:  বছের রহমান</t>
  </si>
  <si>
    <t>মো: আলীম আলী</t>
  </si>
  <si>
    <t>মো: আছাদ আলী</t>
  </si>
  <si>
    <t>মো: মংলা সরকার</t>
  </si>
  <si>
    <t>মো:  আবা¦স সরকার</t>
  </si>
  <si>
    <t>মো: তহিদ ইসলাম</t>
  </si>
  <si>
    <t>মো: ইসমাইল ইসলাম</t>
  </si>
  <si>
    <t>মো: রাজ্জাক  আলী</t>
  </si>
  <si>
    <t>মো: কাদের আলী</t>
  </si>
  <si>
    <t>মো:  হাসান আলী</t>
  </si>
  <si>
    <t>মো: মহিরুদ্দিন আলী</t>
  </si>
  <si>
    <t>মো: দানেশ ইসলাম</t>
  </si>
  <si>
    <t>মো: ইয়াকুব ্আলী</t>
  </si>
  <si>
    <t>মো: রাফাতুল্ল</t>
  </si>
  <si>
    <t>শ্রী : মুকুল কুমার</t>
  </si>
  <si>
    <t>শ্রী : কাত্তিক চন্দ্র</t>
  </si>
  <si>
    <t>শ্রী : বকুল কুমার</t>
  </si>
  <si>
    <t>মো: হোসেন আলী</t>
  </si>
  <si>
    <t>শ্রী : জিতেন্দ্রনাথ</t>
  </si>
  <si>
    <t>শ্রী : দেবেন্দ্রনাথ</t>
  </si>
  <si>
    <t>মো: মুনজুর রহমান</t>
  </si>
  <si>
    <t>মো: হামেদ অলী</t>
  </si>
  <si>
    <t>মো: গোয়ালু</t>
  </si>
  <si>
    <t>মো: মজিদ মন্ডল</t>
  </si>
  <si>
    <t>মো: পিরু মন্ডল</t>
  </si>
  <si>
    <t>মো: আনন্দ মোহন</t>
  </si>
  <si>
    <t>মো: লক্ষন</t>
  </si>
  <si>
    <t>মো: সফিউদ্দিন</t>
  </si>
  <si>
    <t>মো: সেকাতুল্ল</t>
  </si>
  <si>
    <t>মো: বাসুদেব</t>
  </si>
  <si>
    <t>মো: রাম গোপাল</t>
  </si>
  <si>
    <t>মো: সন্ধাতুল্লা</t>
  </si>
  <si>
    <t>শ্রী : নেকবর মৃধা</t>
  </si>
  <si>
    <t>শ্রী : এবারত মৃধা</t>
  </si>
  <si>
    <t>শ্রী : সন্তোষ কুমার</t>
  </si>
  <si>
    <t>শ্রী : সুশিল চন্দ্র</t>
  </si>
  <si>
    <t>মো: জলিল</t>
  </si>
  <si>
    <t>মো: জবির মোল্লা</t>
  </si>
  <si>
    <t>শ্রী : অীিখল চন্দ্র</t>
  </si>
  <si>
    <t>শ্রী : ধীরেন্দ্রনাথ</t>
  </si>
  <si>
    <t>শ্রী : গঙ্গাচরন</t>
  </si>
  <si>
    <t>মো: বাচ্চু</t>
  </si>
  <si>
    <t>মো: তরণী</t>
  </si>
  <si>
    <t>মো: এন্তাজ আলী</t>
  </si>
  <si>
    <t>মো: এমাজ আলী</t>
  </si>
  <si>
    <t>মো: তোফাজ্জল</t>
  </si>
  <si>
    <t>মো: তছলিম</t>
  </si>
  <si>
    <t>মো: দবির সরদার</t>
  </si>
  <si>
    <t>মো: দুলাল সরদার</t>
  </si>
  <si>
    <t>মো: মাসুদ রানা</t>
  </si>
  <si>
    <t>মো: পিয়ার উদ্দিন</t>
  </si>
  <si>
    <t>মো: আবু বকর ইসলাম</t>
  </si>
  <si>
    <t>মো: সালাম সরদার</t>
  </si>
  <si>
    <t>মো: নজর আলী</t>
  </si>
  <si>
    <t>শ্রী : গৈাউর চন্দ্র</t>
  </si>
  <si>
    <t>শ্রী : হরিচরন</t>
  </si>
  <si>
    <t>মো: সুলতান</t>
  </si>
  <si>
    <t>মো: এমাজ</t>
  </si>
  <si>
    <t>শ্রী : সুজন কুমার</t>
  </si>
  <si>
    <t>শ্রী : রামচরন</t>
  </si>
  <si>
    <t>শ্রী : শান্ত দেওয়ান</t>
  </si>
  <si>
    <t>শ্রী : রতিকান্ত</t>
  </si>
  <si>
    <t>মো: সালাউদ্দিন</t>
  </si>
  <si>
    <t>মো: আলতাব</t>
  </si>
  <si>
    <t>মো: কেরামত আলী</t>
  </si>
  <si>
    <t>শ্রী : বিঞ্চুপদ</t>
  </si>
  <si>
    <t>শ্রী : ক্ষিতিষ চন্ত্র</t>
  </si>
  <si>
    <t>মো: সামিউল</t>
  </si>
  <si>
    <t>মো: রেজাউল</t>
  </si>
  <si>
    <t>মো: বদিউজ্জামান</t>
  </si>
  <si>
    <t>শ্রী : আশুতোষ</t>
  </si>
  <si>
    <t>শ্রী : হরিপদ</t>
  </si>
  <si>
    <t>শ্রী : দেব্রবত পাল</t>
  </si>
  <si>
    <t>শ্রী : দ্বিজেন্দ্রনাথ</t>
  </si>
  <si>
    <t>মো: ইয়ানুছ</t>
  </si>
  <si>
    <t>মো: ইয়াছিন</t>
  </si>
  <si>
    <t>শ্রী : মানিক</t>
  </si>
  <si>
    <t>শ্রী : শ্রীধন</t>
  </si>
  <si>
    <t>শ্রী : গনু</t>
  </si>
  <si>
    <t>শ্রী : ক্ষিতিশ</t>
  </si>
  <si>
    <t>মো: ছমির</t>
  </si>
  <si>
    <t>শ্রী : রাম পদ</t>
  </si>
  <si>
    <t>শ্রী : দূর্যধন</t>
  </si>
  <si>
    <t>মো: শফিকুল</t>
  </si>
  <si>
    <t>মো: ফয়েজ</t>
  </si>
  <si>
    <t>মো: ডা: আফছার আলী</t>
  </si>
  <si>
    <t>মো: মকসেদ আলী</t>
  </si>
  <si>
    <t>মো: জামাল আলী</t>
  </si>
  <si>
    <t>মো: সাউন</t>
  </si>
  <si>
    <t>মো: ইসমাইল হোসেন</t>
  </si>
  <si>
    <t>মো: সোহরাব আলী</t>
  </si>
  <si>
    <t>মো: শফিউজ্জামান</t>
  </si>
  <si>
    <t>মো: মনিরুজ্জামান</t>
  </si>
  <si>
    <t>শ্রীমতি : প্রভা বালা</t>
  </si>
  <si>
    <t>শ্রী : সুবল চন্দ্র</t>
  </si>
  <si>
    <t>শ্রী : গোবিন্দ</t>
  </si>
  <si>
    <t>শ্রী : যোগেশ</t>
  </si>
  <si>
    <t>শ্রী : সতিষ চন্দ্র</t>
  </si>
  <si>
    <t>শ্রী : বিধান কুমার</t>
  </si>
  <si>
    <t>মো: ইসলাম</t>
  </si>
  <si>
    <t>মো: ইসমাইল</t>
  </si>
  <si>
    <t>শ্রী : শৈলেন্দ্র দাস</t>
  </si>
  <si>
    <t>শ্রী : বাচ্চু দাস</t>
  </si>
  <si>
    <t>শ্রী: নির্মল কুমার</t>
  </si>
  <si>
    <t>শ্রী: বিনয় কুমার</t>
  </si>
  <si>
    <t>মো: আব্দুস সামাদ</t>
  </si>
  <si>
    <t>শ্রী : বিজয় কুমার</t>
  </si>
  <si>
    <t>শ্রী :  গোলক বিহাড়ী</t>
  </si>
  <si>
    <t>মো: লতিফ</t>
  </si>
  <si>
    <t>মো: মকবুল</t>
  </si>
  <si>
    <t>মো: শুকুর মোন্ডল</t>
  </si>
  <si>
    <t>মো: নুর আলী</t>
  </si>
  <si>
    <t>শ্রী : গৌউর চন্দ্র</t>
  </si>
  <si>
    <t>শ্রী : হারান চন্দ্র</t>
  </si>
  <si>
    <t>শ্রী : সাধন কুমার</t>
  </si>
  <si>
    <t>শ্রী : শান্তনাথ</t>
  </si>
  <si>
    <t>শ্রী: কুমার দাস</t>
  </si>
  <si>
    <t>মো: খালেক</t>
  </si>
  <si>
    <t>মো: আব্বাস</t>
  </si>
  <si>
    <t>মো: হারুন</t>
  </si>
  <si>
    <t>মো: সাইদুর নবী</t>
  </si>
  <si>
    <t>মোসা: সোনিয়া</t>
  </si>
  <si>
    <t>মো: সামাদ</t>
  </si>
  <si>
    <t>মো: রসিদ</t>
  </si>
  <si>
    <t>মো: সফিকুল</t>
  </si>
  <si>
    <t>মো: রমজান</t>
  </si>
  <si>
    <t>মো: নুরনবী</t>
  </si>
  <si>
    <t>মো: সাহিনুর</t>
  </si>
  <si>
    <t>মো: রহিম</t>
  </si>
  <si>
    <t>মোসা: ফুলজান</t>
  </si>
  <si>
    <t>মো: লায়েব</t>
  </si>
  <si>
    <t>মোসা: হাজরা বেগম</t>
  </si>
  <si>
    <t>মো: কামাল</t>
  </si>
  <si>
    <t>মোসা: জাহানারা</t>
  </si>
  <si>
    <t>মো: আ: মান্নান</t>
  </si>
  <si>
    <t>মো: নমির</t>
  </si>
  <si>
    <t>মো: নাজিম</t>
  </si>
  <si>
    <t>মো: সাফিউল</t>
  </si>
  <si>
    <t>মোসা: কালেমা</t>
  </si>
  <si>
    <t>মো:  নুর মহম্মদ</t>
  </si>
  <si>
    <t>মো: আ: মালেক</t>
  </si>
  <si>
    <t>মো: সিরাজ</t>
  </si>
  <si>
    <t>মো: আ: রসিদ</t>
  </si>
  <si>
    <t>মো: সেতাব</t>
  </si>
  <si>
    <t>মো: লতু</t>
  </si>
  <si>
    <t>মো:  সোলেমান</t>
  </si>
  <si>
    <t>মো: লেদা মন্ডল</t>
  </si>
  <si>
    <t>মো: আ: সোবহান</t>
  </si>
  <si>
    <t>মো: সাহাজান</t>
  </si>
  <si>
    <t>মো: আতাবুর</t>
  </si>
  <si>
    <t>মো: ইসলাম আলী</t>
  </si>
  <si>
    <t>মো: খলিল</t>
  </si>
  <si>
    <t>মো: ছোবহান</t>
  </si>
  <si>
    <t>মো: আজিজুর</t>
  </si>
  <si>
    <t>মো: সেলিমুজ্জামান</t>
  </si>
  <si>
    <t>মো: নমির উদ্দিন</t>
  </si>
  <si>
    <t>মো: চেরু পাইক</t>
  </si>
  <si>
    <t>মো: মোজাহার ইসলাম</t>
  </si>
  <si>
    <t>মো: মজিবর</t>
  </si>
  <si>
    <t>মো: তফিকুল ইসলাম</t>
  </si>
  <si>
    <t>মো: সমসের</t>
  </si>
  <si>
    <t>মো: আজিম</t>
  </si>
  <si>
    <t>মো: আমির</t>
  </si>
  <si>
    <t>মো: আ: লতিফ</t>
  </si>
  <si>
    <t>মো: আকতার</t>
  </si>
  <si>
    <t>মোসা: সাহানারা</t>
  </si>
  <si>
    <t>মো: ফজলু</t>
  </si>
  <si>
    <t>মো: আরিফুল ইসলাম</t>
  </si>
  <si>
    <t>মো: মনির</t>
  </si>
  <si>
    <t>মোসা: বুলু বেগম</t>
  </si>
  <si>
    <t>মো: সোলেমান</t>
  </si>
  <si>
    <t>মো: মকছেদ</t>
  </si>
  <si>
    <t>মো: নাসির</t>
  </si>
  <si>
    <t>মোসা: চামেলী</t>
  </si>
  <si>
    <t>মো: সরিফ</t>
  </si>
  <si>
    <t>মো: হাসেন</t>
  </si>
  <si>
    <t>মো: হাফেজ</t>
  </si>
  <si>
    <t>মো: জহির</t>
  </si>
  <si>
    <t>মো: আফদার</t>
  </si>
  <si>
    <t>মো: নরুল</t>
  </si>
  <si>
    <t>শ্রী : অধীর চন্দ্র</t>
  </si>
  <si>
    <t>শ্রী : কাঞ্চন চন্দ্র</t>
  </si>
  <si>
    <t>মো: সুকুর</t>
  </si>
  <si>
    <t>মোসা: হাসিনা</t>
  </si>
  <si>
    <t>মো: জব্বার</t>
  </si>
  <si>
    <t>মো: আ: আলীম</t>
  </si>
  <si>
    <t>মো: ছলিম</t>
  </si>
  <si>
    <t>মোসা: সেলিনা খাতুন</t>
  </si>
  <si>
    <t>মো: মনতাজ</t>
  </si>
  <si>
    <t>মা: আতাবুর</t>
  </si>
  <si>
    <t>মো: হরিপদ</t>
  </si>
  <si>
    <t>মো: নয়ন কুমার দাস</t>
  </si>
  <si>
    <t>মো: বয়েন</t>
  </si>
  <si>
    <t>মো: হাসেন আলী</t>
  </si>
  <si>
    <t>মো: কাফেজ</t>
  </si>
  <si>
    <t>মো: আলীম</t>
  </si>
  <si>
    <t>মোসা: মমতাজ</t>
  </si>
  <si>
    <t>মো: রিয়াজ</t>
  </si>
  <si>
    <t>মো: ইছব মন্ডল</t>
  </si>
  <si>
    <t>মো: ওয়াহেদ</t>
  </si>
  <si>
    <t>মো: ফারাতুল্লা</t>
  </si>
  <si>
    <t>মো: আ: রসিদ দপ্তরী</t>
  </si>
  <si>
    <t>মো: মুনসুর</t>
  </si>
  <si>
    <t>মো: অতাব</t>
  </si>
  <si>
    <t>মো: আকরাম</t>
  </si>
  <si>
    <t>মো: মোস্তাকিন</t>
  </si>
  <si>
    <t>মো:  হেলাল উদ্দিন</t>
  </si>
  <si>
    <t>মো: হেলাল</t>
  </si>
  <si>
    <t>মোসা: জুরেখা</t>
  </si>
  <si>
    <t>মো: এসনাহার</t>
  </si>
  <si>
    <t>মোসা: এসনাহার</t>
  </si>
  <si>
    <t>মো: হাকিম</t>
  </si>
  <si>
    <t>মো: মিলন</t>
  </si>
  <si>
    <t>মো: কচিউদ্দিন</t>
  </si>
  <si>
    <t>মো: ত্ইারুন</t>
  </si>
  <si>
    <t>মোসা: আলেয়া</t>
  </si>
  <si>
    <t>মো: আব্দুল লতিফ</t>
  </si>
  <si>
    <t>মো: শাহাদাত</t>
  </si>
  <si>
    <t>শ্রী: প্রতুল কুমার</t>
  </si>
  <si>
    <t>শ্রী: চাপা দাস</t>
  </si>
  <si>
    <t>মো: জসিম</t>
  </si>
  <si>
    <t>মোসা: ফাতেমা</t>
  </si>
  <si>
    <t>মো: গাহাতুল্লা</t>
  </si>
  <si>
    <t>মো: তোফায়েল</t>
  </si>
  <si>
    <t>মো: মোজাফর</t>
  </si>
  <si>
    <t>মো: দুলাল মন্ডল</t>
  </si>
  <si>
    <t>মোসা: চেনবানু</t>
  </si>
  <si>
    <t>মো: কবির সরদার</t>
  </si>
  <si>
    <t>মো: কছিমুদ্দিন</t>
  </si>
  <si>
    <t>মো: দুলাল শাহ</t>
  </si>
  <si>
    <t>মো: সলেমান</t>
  </si>
  <si>
    <t>মো: সেলিম সরদার</t>
  </si>
  <si>
    <t>মো: মনসুর</t>
  </si>
  <si>
    <t>মো: জসিম উদ্দিন</t>
  </si>
  <si>
    <t>মো: মনিরুল সরদার</t>
  </si>
  <si>
    <t>মো: সাত্তার</t>
  </si>
  <si>
    <t>মো: টুকু সরদার</t>
  </si>
  <si>
    <t>মো: নুর মোহাম্মদ</t>
  </si>
  <si>
    <t>মো: আ: হামিদ</t>
  </si>
  <si>
    <t>মো: জব্বয় দপ্তরী</t>
  </si>
  <si>
    <t>শ্রী: বিমল চন্দ্র</t>
  </si>
  <si>
    <t>মো: সমসের  শেখ</t>
  </si>
  <si>
    <t>মো: মোস্তাকিন শেখ</t>
  </si>
  <si>
    <t>মো: ওসিম উদ্দিন</t>
  </si>
  <si>
    <t>মো: নিজাম</t>
  </si>
  <si>
    <t>মো: আজম</t>
  </si>
  <si>
    <t>মো: রওশন আলী</t>
  </si>
  <si>
    <t>মো: ওয়াসিম</t>
  </si>
  <si>
    <t>মো: রাকিব আলী</t>
  </si>
  <si>
    <t>মো: বাবুল সরকার</t>
  </si>
  <si>
    <t>শ্রী: দেবেনন্দ্রনাথ</t>
  </si>
  <si>
    <t>শ্রী: মন্টু চন্দ্র</t>
  </si>
  <si>
    <t>শ্রী: দুলাল চন্দ্র</t>
  </si>
  <si>
    <t>মো: হারুনুর রসিদ</t>
  </si>
  <si>
    <t>মো: হান্নান</t>
  </si>
  <si>
    <t>শ্রী: নয়ন চন্দ্র</t>
  </si>
  <si>
    <t>শ্রী: সুমঙ্গল</t>
  </si>
  <si>
    <t>মো: আ: লতিব</t>
  </si>
  <si>
    <t>শ্রী: গোলক বিহাড়ী</t>
  </si>
  <si>
    <t>শ্রী: বিজয় কুমার</t>
  </si>
  <si>
    <t>মো: ওহেদুর রহমান</t>
  </si>
  <si>
    <t>শ্রী: চিত্তরঞ্জন</t>
  </si>
  <si>
    <t>শ্রী: প্রতুল</t>
  </si>
  <si>
    <t>মো: হেফাজ</t>
  </si>
  <si>
    <t>শ্রী: শিখেন</t>
  </si>
  <si>
    <t>শ্রী: অলক</t>
  </si>
  <si>
    <t>শ্রী: অমর</t>
  </si>
  <si>
    <t>শ্রী: সুবল</t>
  </si>
  <si>
    <t>শ্রী: ব্রজেন</t>
  </si>
  <si>
    <t>শ্রী: পরেশ</t>
  </si>
  <si>
    <t>মো: এলেম</t>
  </si>
  <si>
    <t>মো: আজিজুল</t>
  </si>
  <si>
    <t>মো: আ: জলিল</t>
  </si>
  <si>
    <t>মো: সামসুল</t>
  </si>
  <si>
    <t>মোসা: আখলিমা</t>
  </si>
  <si>
    <t>মো: খলিলুর</t>
  </si>
  <si>
    <t>মো: আ: আলিম</t>
  </si>
  <si>
    <t>মো: মহির</t>
  </si>
  <si>
    <t>মো:  তদির উদ্দিন</t>
  </si>
  <si>
    <t>মো: রোস্তম</t>
  </si>
  <si>
    <t>মো: সুক মোহাম্মদ</t>
  </si>
  <si>
    <t>মো: এবাদুল হক</t>
  </si>
  <si>
    <t>মো: আজিজুল হক</t>
  </si>
  <si>
    <t>শ্রী: শুকুমার</t>
  </si>
  <si>
    <t>শ্রী: বাসতী রানী</t>
  </si>
  <si>
    <t>মো: আতাউর</t>
  </si>
  <si>
    <t>মো: মোসাহাক</t>
  </si>
  <si>
    <t>মো: আবুল কাশেম</t>
  </si>
  <si>
    <t>মো: এজাজুল</t>
  </si>
  <si>
    <t>শ্রী:  ভবেশচন্দ্র</t>
  </si>
  <si>
    <t>শ্রী:  কাঞ্চন চন্দ্র</t>
  </si>
  <si>
    <t>মো: মোসলেম</t>
  </si>
  <si>
    <t>মো: শরিফ উদ্দিন</t>
  </si>
  <si>
    <t>মো: ইয়দিন</t>
  </si>
  <si>
    <t>শ্রী:  চরন</t>
  </si>
  <si>
    <t>শ্রী:  বাদল চন্দ্র</t>
  </si>
  <si>
    <t>শ্রী:  হারান</t>
  </si>
  <si>
    <t>শ্রী:  নিতাই</t>
  </si>
  <si>
    <t>শ্রী:  হরিচরন</t>
  </si>
  <si>
    <t>শ্রী:  গোপাল বিহারি</t>
  </si>
  <si>
    <t>শ্রী: মোসাহাক</t>
  </si>
  <si>
    <t>শ্রীমতি: জুলেখা</t>
  </si>
  <si>
    <t>শ্রী:  ধীরেন্দ্রনাথ</t>
  </si>
  <si>
    <t>শ্রী: প্রভাত মন্ডল</t>
  </si>
  <si>
    <t>শ্রী:  মোগেন</t>
  </si>
  <si>
    <t>শ্রীমতি: সুমতি</t>
  </si>
  <si>
    <t>শ্রী: সবেন্দ্রনাথ</t>
  </si>
  <si>
    <t>শ্রী: মনোরঞ্জ</t>
  </si>
  <si>
    <t>শ্রী: সুরেদ্রনাথ</t>
  </si>
  <si>
    <t>শ্রী: সচান্দ্রনাথ</t>
  </si>
  <si>
    <t>শ্রী: ধীরেন্দ্রনাথ</t>
  </si>
  <si>
    <t>শ্রী: নগেন্দ্রনাথ</t>
  </si>
  <si>
    <t>শ্রী:নৃগেন্দ্রনাথ</t>
  </si>
  <si>
    <t>শ্রীমতি: গয়েন্তা রানী</t>
  </si>
  <si>
    <t>মো: এসারত</t>
  </si>
  <si>
    <t>মোসা: রোকেয়া খাতুন</t>
  </si>
  <si>
    <t>মো: অনু মন্ডল</t>
  </si>
  <si>
    <t>মো: ইসাহাক</t>
  </si>
  <si>
    <t>মোসা: মমেনা</t>
  </si>
  <si>
    <t>মো: আকব্বর আলী</t>
  </si>
  <si>
    <t>মো: আজগর মন্ডল</t>
  </si>
  <si>
    <t>মো: এমাজ উদ্দিন</t>
  </si>
  <si>
    <t>মো: আ: কুদ্দুস</t>
  </si>
  <si>
    <t>মো: মহির উদ্দিন</t>
  </si>
  <si>
    <t>মো: জহির উদ্দিন</t>
  </si>
  <si>
    <t>মো: আব্দুর হামদি</t>
  </si>
  <si>
    <t>মো: হাফিজুর</t>
  </si>
  <si>
    <t>মো: মেকুর মন্ডল</t>
  </si>
  <si>
    <t>মো: বানেছা</t>
  </si>
  <si>
    <t>মো: মনু হোসেন</t>
  </si>
  <si>
    <t>মো: গোলাম মাওলা</t>
  </si>
  <si>
    <t>মো: মছির উাদ্দন</t>
  </si>
  <si>
    <t>মো: ডিমার মন্ডল</t>
  </si>
  <si>
    <t>মো: শামসুদ্দিন মৃধা</t>
  </si>
  <si>
    <t>মো: জেহেরউল্লা</t>
  </si>
  <si>
    <t>মো: আ: জব্বার মন্ডল</t>
  </si>
  <si>
    <t>মো: কামাল উদ্দিন</t>
  </si>
  <si>
    <t>মো: বিদ্যত আলী</t>
  </si>
  <si>
    <t>মোসা: মাহাফুজা খাতুন</t>
  </si>
  <si>
    <t>মো: খলিলুর রহমান</t>
  </si>
  <si>
    <t>মো: সেকেন্দার আলী</t>
  </si>
  <si>
    <t>মো: নুরুল ইসলাম</t>
  </si>
  <si>
    <t>মো: রকিবুল্যা</t>
  </si>
  <si>
    <t>মো: সহিদুর</t>
  </si>
  <si>
    <t>মো: মছির উদ্দিন</t>
  </si>
  <si>
    <t>মো: আ: গোফুর</t>
  </si>
  <si>
    <t>মো: কাদের</t>
  </si>
  <si>
    <t>মো: আলম</t>
  </si>
  <si>
    <t>মো: কাওসার</t>
  </si>
  <si>
    <t>মো: হামিদ</t>
  </si>
  <si>
    <t>মোসা: হামিদা</t>
  </si>
  <si>
    <t>মো: নজের আলী</t>
  </si>
  <si>
    <t>মো: ইচুন আলী</t>
  </si>
  <si>
    <t>মো: মতিউর রহমান</t>
  </si>
  <si>
    <t>মো: পারভেজ মৃধা</t>
  </si>
  <si>
    <t>মো: জিয়রতুল্লা</t>
  </si>
  <si>
    <t>মো: মোবারক</t>
  </si>
  <si>
    <t>মো: রবিউল</t>
  </si>
  <si>
    <t>মো: তজির উদ্দিন</t>
  </si>
  <si>
    <t>মো: ইয়ার উদ্দিন</t>
  </si>
  <si>
    <t>মো: জব্বার মন্ডল</t>
  </si>
  <si>
    <t>মো: ময়েজ</t>
  </si>
  <si>
    <t>মো: শহিদুল</t>
  </si>
  <si>
    <t>মো: রিয়জ</t>
  </si>
  <si>
    <t>মো: ইছাহাক</t>
  </si>
  <si>
    <t>মো: বাবুল</t>
  </si>
  <si>
    <t>মো: জেহের</t>
  </si>
  <si>
    <t>মো: আ: খালেক</t>
  </si>
  <si>
    <t>মো: শরিও তুল্লা</t>
  </si>
  <si>
    <t>মো: হাতেম</t>
  </si>
  <si>
    <t>মো: সাইফ উদ্দিন</t>
  </si>
  <si>
    <t>মো: মতিউর</t>
  </si>
  <si>
    <t>মো: গোলাম</t>
  </si>
  <si>
    <t>মো: জিয়ারতুল্লা</t>
  </si>
  <si>
    <t>মো: দাউদ</t>
  </si>
  <si>
    <t>মো: জেহের মৃধা</t>
  </si>
  <si>
    <t>মো: মাইরুল ইসলাম</t>
  </si>
  <si>
    <t>মো: নুরুল</t>
  </si>
  <si>
    <t>মো: হানিফ</t>
  </si>
  <si>
    <t>মো: রবি মন্ডল</t>
  </si>
  <si>
    <t>মো: এরাজ</t>
  </si>
  <si>
    <t>মোসা: আসমা</t>
  </si>
  <si>
    <t>মো: নুরমহম্মদ</t>
  </si>
  <si>
    <t>মো: গরিবুল্লা</t>
  </si>
  <si>
    <t>মো: মুনসুর রহমান</t>
  </si>
  <si>
    <t>মো: তাজিরুদ্দিন</t>
  </si>
  <si>
    <t>মো: আল মামুন</t>
  </si>
  <si>
    <t>মো: রহমাতুল্লা</t>
  </si>
  <si>
    <t>মোসা: সালহো বগেম</t>
  </si>
  <si>
    <t>মো: জমির</t>
  </si>
  <si>
    <t>মো: তাজির উদ্দিন</t>
  </si>
  <si>
    <t>মো: হারুন অর রসিদ</t>
  </si>
  <si>
    <t>মোসা: আবেদা খাতুন</t>
  </si>
  <si>
    <t>মো: জেহেরুল্লা</t>
  </si>
  <si>
    <t>মো: ওহাব মৃধা</t>
  </si>
  <si>
    <t>মো: রকিবুল্লা</t>
  </si>
  <si>
    <t>মোসা: নুরজাহান</t>
  </si>
  <si>
    <t>মো: তালেব আলী</t>
  </si>
  <si>
    <t>মো: কাসেম আলী</t>
  </si>
  <si>
    <t>মো: রাসেল হোসেন</t>
  </si>
  <si>
    <t>মো: গোলাম মোস্তফা</t>
  </si>
  <si>
    <t>মো: ইউনুস</t>
  </si>
  <si>
    <t>মো: আলী মনসুর</t>
  </si>
  <si>
    <t>মো: আবু তালেব</t>
  </si>
  <si>
    <t>মোসা: দিলরুবা খাতুন</t>
  </si>
  <si>
    <t>মো: রফিবুল্লা</t>
  </si>
  <si>
    <t>মো: সাদিকুল</t>
  </si>
  <si>
    <t>মো: আবুল কালাম</t>
  </si>
  <si>
    <t>মো: সামশুদ্দিন</t>
  </si>
  <si>
    <t>মো: জুয়েল মৃধা</t>
  </si>
  <si>
    <t>মোসা: রাবেয়া খাতুন</t>
  </si>
  <si>
    <t>মো: নজরুল</t>
  </si>
  <si>
    <t>মো: মারুফ হোসেন</t>
  </si>
  <si>
    <t>মোসা: সাবিনা ইয়াসমিন</t>
  </si>
  <si>
    <t>মো: জিয়াবত ্আলী</t>
  </si>
  <si>
    <t>মো: আব্দুল মতিন</t>
  </si>
  <si>
    <t>মো: রহিমুদ্দিন</t>
  </si>
  <si>
    <t>শ্রী : মন্টু</t>
  </si>
  <si>
    <t>শ্রী : ষষ্টি দেওয়ান</t>
  </si>
  <si>
    <t>শ্রী : শতিশ</t>
  </si>
  <si>
    <t>শ্রী : রেন্টু</t>
  </si>
  <si>
    <t>শ্রীমতি: শংকরী</t>
  </si>
  <si>
    <t>শ্রী : নিরেন</t>
  </si>
  <si>
    <t>শ্রী : হিরেন</t>
  </si>
  <si>
    <t>শ্রী : জয়</t>
  </si>
  <si>
    <t>শ্রী : বিজয়</t>
  </si>
  <si>
    <t>শ্রী : নবদ্বীপ</t>
  </si>
  <si>
    <t>শ্রী : নিখিল</t>
  </si>
  <si>
    <t>শ্রী : সুরেশ</t>
  </si>
  <si>
    <t>শ্রী : নিরাপদ</t>
  </si>
  <si>
    <t>শ্রী : সুবোধ চন্দ্র</t>
  </si>
  <si>
    <t>শ্রী : সুধাংশচন্দ্র</t>
  </si>
  <si>
    <t>শ্রী : নান্টু</t>
  </si>
  <si>
    <t>শ্রী : কানাই</t>
  </si>
  <si>
    <t>শ্রী : অসিম</t>
  </si>
  <si>
    <t>শ্রী : স্বপন</t>
  </si>
  <si>
    <t>শ্রী : তরণি</t>
  </si>
  <si>
    <t>শ্রী : সুশান্ত</t>
  </si>
  <si>
    <t>শ্রী : বিভুতি</t>
  </si>
  <si>
    <t>শ্রী : বিপ্লব</t>
  </si>
  <si>
    <t>শ্রী : খোকন চন্দ্র</t>
  </si>
  <si>
    <t>শ্রী : সরেন্দ্রনাথ</t>
  </si>
  <si>
    <t>শ্রী : দুলাল</t>
  </si>
  <si>
    <t>শ্রী : ফটু</t>
  </si>
  <si>
    <t>শ্রী : আনন্দ</t>
  </si>
  <si>
    <t>শ্রী : রামেনদির</t>
  </si>
  <si>
    <t>শ্রী : সুনাথ</t>
  </si>
  <si>
    <t>শ্রী : সুবেশ</t>
  </si>
  <si>
    <t>শ্রী : সুবেল</t>
  </si>
  <si>
    <t>শ্রী : দিনেশ</t>
  </si>
  <si>
    <t>শ্রী : সতিশ</t>
  </si>
  <si>
    <t>শ্রী : গুল চন্দ্র দেওয়ান</t>
  </si>
  <si>
    <t>শ্রী : ক্ষিতিশ চদ্র</t>
  </si>
  <si>
    <t>শ্রী : নয়ন চন্দ্র</t>
  </si>
  <si>
    <t>শ্রী : চনচল</t>
  </si>
  <si>
    <t>শ্রী : নিরমল চন্দ্র</t>
  </si>
  <si>
    <t>শ্রী : প্রমত চন্দ্র</t>
  </si>
  <si>
    <t>শ্রী : শুকেস</t>
  </si>
  <si>
    <t>শ্রী : নিবারন</t>
  </si>
  <si>
    <t>শ্রী : ব্রজনধি</t>
  </si>
  <si>
    <t>শ্রী : নারায়ন</t>
  </si>
  <si>
    <t>শ্রী : প্রষোদ</t>
  </si>
  <si>
    <t>শ্রী : প্রদীপ</t>
  </si>
  <si>
    <t>শ্রী : নরেস</t>
  </si>
  <si>
    <t>শ্রী : সজনি</t>
  </si>
  <si>
    <t>শ্রী : অবদি</t>
  </si>
  <si>
    <t>শ্রী : হিতেন</t>
  </si>
  <si>
    <t>শ্রী : হারাধন</t>
  </si>
  <si>
    <t>শ্রী : সুশান চন্দ্র</t>
  </si>
  <si>
    <t>শ্রী : সুদেন চন্দ্র</t>
  </si>
  <si>
    <t>শ্রী : বাসি কুমার</t>
  </si>
  <si>
    <t>শ্রী : সুবেষ চন্দ্র</t>
  </si>
  <si>
    <t>শ্রী : নবগোর</t>
  </si>
  <si>
    <t>শ্রী : বিজম</t>
  </si>
  <si>
    <t>শ্রী : সান্তনু প্রামানিক</t>
  </si>
  <si>
    <t>শ্রী : সুরেন্দ্রনাথ</t>
  </si>
  <si>
    <t>মো: রসিদ পাইক</t>
  </si>
  <si>
    <t>মো: সালাম মন্ডল</t>
  </si>
  <si>
    <t>মো: কেফাতুল্লা</t>
  </si>
  <si>
    <t>মো: ওয়াসমি</t>
  </si>
  <si>
    <t>মো: হায়াত</t>
  </si>
  <si>
    <t>শ্রী :  শ্রাহাস দেওয়ান</t>
  </si>
  <si>
    <t>শ্রী : বাসুদেব দেওয়ান</t>
  </si>
  <si>
    <t>মো: রফতুল্যা</t>
  </si>
  <si>
    <t>মো: শাহ আলম</t>
  </si>
  <si>
    <t>মোসা: রাহেমা বেগম</t>
  </si>
  <si>
    <t>শ্রী : বিমল চন্দ্র</t>
  </si>
  <si>
    <t>শ্রী : বিদু ভূষন</t>
  </si>
  <si>
    <t>মো: কছির নউদ্দিন</t>
  </si>
  <si>
    <t>মো: সেলিম রেজা</t>
  </si>
  <si>
    <t>মো: মিরাজ উদ্দিন</t>
  </si>
  <si>
    <t>মো: শফিউল ইসলাম</t>
  </si>
  <si>
    <t>মো: হেকমত আলী</t>
  </si>
  <si>
    <t>মো: আমিনুর রহমান</t>
  </si>
  <si>
    <t>মো: হমল মন্ডল</t>
  </si>
  <si>
    <t>মো: কছির সরদার</t>
  </si>
  <si>
    <t>মো: তফির উদ্দিন</t>
  </si>
  <si>
    <t>শ্রী : প্রশান্ত চন্দ্র</t>
  </si>
  <si>
    <t>মো: আসরাফুর</t>
  </si>
  <si>
    <t>মো: এরাজ মৃধা</t>
  </si>
  <si>
    <t>শ্রী : নিপেন প্রামানিক</t>
  </si>
  <si>
    <t>শ্রী : মহেন্দ্র চন্দ্র</t>
  </si>
  <si>
    <t>মো: নাজিমুদ্দিন</t>
  </si>
  <si>
    <t>মো: হাসান মৃধা</t>
  </si>
  <si>
    <t>মো: আফজাল</t>
  </si>
  <si>
    <t>মো: বারেক খরদী</t>
  </si>
  <si>
    <t>মো: অবির খরাদী</t>
  </si>
  <si>
    <t>মো: জালাল মন্ডল</t>
  </si>
  <si>
    <t>মো: রিয়াজ মৃধা</t>
  </si>
  <si>
    <t>মো: রাফাতুল্লা মৃধা</t>
  </si>
  <si>
    <t>মো: সাইদুর রহমান</t>
  </si>
  <si>
    <t>মো: রবিউল্লা</t>
  </si>
  <si>
    <t>মো: এলেম উদ্দিন</t>
  </si>
  <si>
    <t>মো: রসুল মন্ডল</t>
  </si>
  <si>
    <t>মো: মোকলেছুর</t>
  </si>
  <si>
    <t>মো: রাজ্জাক মন্ডল</t>
  </si>
  <si>
    <t>মো: মোজাম্মেল</t>
  </si>
  <si>
    <t>মো: সখাতুল্লা</t>
  </si>
  <si>
    <t>শ্রী : নরেন্দ্রনাথ</t>
  </si>
  <si>
    <t>শ্রী : রামচন্দ্র সরকার</t>
  </si>
  <si>
    <t>মো: কেরামত</t>
  </si>
  <si>
    <t>মো: মোবরক হোসেন</t>
  </si>
  <si>
    <t>মো: সনাতুল্লা</t>
  </si>
  <si>
    <t>মো: জাহাঙ্গির</t>
  </si>
  <si>
    <t>মো: রাফাতুল্লা</t>
  </si>
  <si>
    <t>মো: মকি মন্ডল</t>
  </si>
  <si>
    <t>মো: খোকা পাইক</t>
  </si>
  <si>
    <t>শ্রী : গৌর চন্দ্র</t>
  </si>
  <si>
    <t>শ্রী : নগেন চন্দ্র</t>
  </si>
  <si>
    <t>মো: জিল্লুর রহমান</t>
  </si>
  <si>
    <t>মো: বছির উদ্দিন</t>
  </si>
  <si>
    <t>শ্রী : সঞ্জিব কুমার</t>
  </si>
  <si>
    <t>শ্রী : লক্ষণ কুমার</t>
  </si>
  <si>
    <t>শ্রী : ইতি চৌধুরী</t>
  </si>
  <si>
    <t>শ্রী : স্বপন কুমার</t>
  </si>
  <si>
    <t>মো: মত্্্্্্্উির রহমান</t>
  </si>
  <si>
    <t>মো: মছির সরদার</t>
  </si>
  <si>
    <t>শ্রী : স্¦পন কুমার</t>
  </si>
  <si>
    <t>শ্রী : জ্ঞানেন্দ্রনাথ</t>
  </si>
  <si>
    <t>মো: হেকমত াআলী</t>
  </si>
  <si>
    <t>মো: রাসতুল্লা</t>
  </si>
  <si>
    <t>মো: ্্্্এনামুল সরদার</t>
  </si>
  <si>
    <t>শ্রী : যানী হালদার</t>
  </si>
  <si>
    <t>মো: বজ্রনাল হালদার</t>
  </si>
  <si>
    <t>মো: বাবুল  মন্ডল</t>
  </si>
  <si>
    <t>মো: মায়েজ উদ্দিন</t>
  </si>
  <si>
    <t>মো: রেজাউল সরদার</t>
  </si>
  <si>
    <t>মো: রস্তম আলী</t>
  </si>
  <si>
    <t>মো: আজিজ আলী</t>
  </si>
  <si>
    <t>মো: আজিম উদ্দিন</t>
  </si>
  <si>
    <t>শ্রী : গোতম কুমার</t>
  </si>
  <si>
    <t>শ্রী : সঞ্জয় কুমার</t>
  </si>
  <si>
    <t>শ্রী : লক্ষণ</t>
  </si>
  <si>
    <t>শ্রী : নয়ন ভট্রাচার্য্য</t>
  </si>
  <si>
    <t>শ্রী : বিনদ বিহারী</t>
  </si>
  <si>
    <t>শ্রী : জীবন মন্ডল</t>
  </si>
  <si>
    <t>শ্রী : পুরক মন্ডল</t>
  </si>
  <si>
    <t>মো: কিতাব উদ্দিন</t>
  </si>
  <si>
    <t>মো: এবারত উদ্দিন</t>
  </si>
  <si>
    <t>শ্রী : তপন কুমার</t>
  </si>
  <si>
    <t>শ্রী : ভ্রানেন্দ্রনাথ</t>
  </si>
  <si>
    <t>মো: মোফাজ্জল</t>
  </si>
  <si>
    <t>মো: আনোয়ার সরদার</t>
  </si>
  <si>
    <t>মো: গিয়াস উদ্দিন</t>
  </si>
  <si>
    <t>মো: সিতাব আলী</t>
  </si>
  <si>
    <t>মো: একরত মৃধা</t>
  </si>
  <si>
    <t>শ্রী : বিশ্বজিত</t>
  </si>
  <si>
    <t>শ্রী : সুনীল কুমার</t>
  </si>
  <si>
    <t>শ্রী : বিপুল চৌধুরী</t>
  </si>
  <si>
    <t>শ্রী : সুনীল চৌধুরী</t>
  </si>
  <si>
    <t>মো: আতা মৃধা</t>
  </si>
  <si>
    <t>শ্রী : লক্ষন প্রামানিক</t>
  </si>
  <si>
    <t>শ্রী : বজ্রলাল</t>
  </si>
  <si>
    <t>মো: কিশোরী বাবু</t>
  </si>
  <si>
    <t>মো: মজিদুল</t>
  </si>
  <si>
    <t>মো: রবিউল প্রামানিক</t>
  </si>
  <si>
    <t>মো: কাদিম উদ্দিন</t>
  </si>
  <si>
    <t>মো: দবির উদ্দিন</t>
  </si>
  <si>
    <t>মো: মমতাজ আলী</t>
  </si>
  <si>
    <t>শ্রীমতি : রিতা রানী</t>
  </si>
  <si>
    <t>শ্রী : গোপাল দেব</t>
  </si>
  <si>
    <t>শ্রী : গোপাল েেদব</t>
  </si>
  <si>
    <t>শ্রীমতি : কাবেরী রানী</t>
  </si>
  <si>
    <t>মো: শ্যামল কুমার</t>
  </si>
  <si>
    <t>মো: ফয়েজ উদ্দিন</t>
  </si>
  <si>
    <t>মোসা: হাসনা বেগম</t>
  </si>
  <si>
    <t>মো: নিয়ামত</t>
  </si>
  <si>
    <t>মো: মোস্তফা মন্ডল</t>
  </si>
  <si>
    <t>মো: সোনাতুল্লা</t>
  </si>
  <si>
    <t>মো: আ: সাত্তার সরকার</t>
  </si>
  <si>
    <t>মো: গিয়াস সরকার</t>
  </si>
  <si>
    <t>মো: মুনতাজ পাইক</t>
  </si>
  <si>
    <t>মো: এমাজ পাইক</t>
  </si>
  <si>
    <t>শ্রী : বিরু প্রামানিক</t>
  </si>
  <si>
    <t>মো: পির মন্ডল</t>
  </si>
  <si>
    <t>শ্রী : প্রকাশ চৌধুরী</t>
  </si>
  <si>
    <t>মো: রফিক মন্ডল</t>
  </si>
  <si>
    <t>শ্রী : নুর মোহাম্মদ</t>
  </si>
  <si>
    <t>শ্রী : কৃষ্ণ চন্দ্র প্রা:</t>
  </si>
  <si>
    <t>শ্রী : গিরিশচন্দ্র</t>
  </si>
  <si>
    <t>শ্রী : ভূপেন্দনাথ</t>
  </si>
  <si>
    <t>মো: মহেন্দ্রনাথ</t>
  </si>
  <si>
    <t>মো: আজিমুদ্দিন</t>
  </si>
  <si>
    <t>মো: রাহাতুল্লা মন্ডল</t>
  </si>
  <si>
    <t>মোসা: রেখা বিবি</t>
  </si>
  <si>
    <t>শ্রী : দ্বীজেন হাওলাদার</t>
  </si>
  <si>
    <t>শ্রী : ব্রজনাল হাওলাদার</t>
  </si>
  <si>
    <t>মো: রইস উদ্দিন</t>
  </si>
  <si>
    <t>মো: পিখার মন্ডল</t>
  </si>
  <si>
    <t>শ্রী : ব্রজেন্দ্রনাথ</t>
  </si>
  <si>
    <t>শ্রী : মতিন্দ্রনাথ</t>
  </si>
  <si>
    <t>শ্রী : রামলাল</t>
  </si>
  <si>
    <t>শ্রী : নৃপেন্দ্রনাথ</t>
  </si>
  <si>
    <t>শ্রী : লিটন</t>
  </si>
  <si>
    <t>শ্রীমতি : সুবাসিনি রানী</t>
  </si>
  <si>
    <t>শ্রী : শ্যামপদ</t>
  </si>
  <si>
    <t>শ্রী : সুধা চন্দ্র</t>
  </si>
  <si>
    <t>মো:  ছমির উদ্দিন</t>
  </si>
  <si>
    <t>মো: লবি মন্ডল</t>
  </si>
  <si>
    <t>শ্রী : পদ প্রামানিক</t>
  </si>
  <si>
    <t>শ্রী : সুধার চন্দ্র</t>
  </si>
  <si>
    <t>শ্রী : নিরাঙ্গন</t>
  </si>
  <si>
    <t>শ্রী : তারাপদ</t>
  </si>
  <si>
    <t>মোসা: সুফিয়া</t>
  </si>
  <si>
    <t>মো: বজন আলী</t>
  </si>
  <si>
    <t>মোসা: রিবিনা বেগম</t>
  </si>
  <si>
    <t>মো: আ: আমিন</t>
  </si>
  <si>
    <t>শ্রী : রাম চরন</t>
  </si>
  <si>
    <t>শ্রী : ক্ষেত্রনাথ</t>
  </si>
  <si>
    <t>শ্রী : বিনয় কুমার</t>
  </si>
  <si>
    <t>শ্রী : আকালু</t>
  </si>
  <si>
    <t>শ্রী : কালি পদ</t>
  </si>
  <si>
    <t>শ্রী : সুধির</t>
  </si>
  <si>
    <t>মো: মোহাম্মদ মোল্লা</t>
  </si>
  <si>
    <t>মো: বজর আলী</t>
  </si>
  <si>
    <t>শ্রী : নয়ন কুমার</t>
  </si>
  <si>
    <t>শ্রী : সুশীল চন্দ্র</t>
  </si>
  <si>
    <t>শ্রী : সুকেষ চন্দ্র</t>
  </si>
  <si>
    <t>মো: গোলেপুর</t>
  </si>
  <si>
    <t>মো: করিম মোল্লা</t>
  </si>
  <si>
    <t>মো: জহির সরদার</t>
  </si>
  <si>
    <t>মো: ইসা সরদার</t>
  </si>
  <si>
    <t>মো: জাকির হোসেন</t>
  </si>
  <si>
    <t>শ্রী : তপন চন্দ্র</t>
  </si>
  <si>
    <t>শ্রী : শুশিল চন্দ্র</t>
  </si>
  <si>
    <t>শ্রী : গৌতম কুমার</t>
  </si>
  <si>
    <t>শ্রী : মদন মোহন</t>
  </si>
  <si>
    <t>শ্রী : অভিলাস চন্দ্র</t>
  </si>
  <si>
    <t>মো: মজির উদ্দিন</t>
  </si>
  <si>
    <t>শ্রী : গোরাঙ্গ চন্দ্র</t>
  </si>
  <si>
    <t>শ্রী : প্রমোদ চন্দ্র</t>
  </si>
  <si>
    <t>শ্রী : খতিশ চন্দ্র সাহা</t>
  </si>
  <si>
    <t>মৃত: দেবেন্দ্রনাথ</t>
  </si>
  <si>
    <t>শ্রী : সেলিম উদ্দিন</t>
  </si>
  <si>
    <t>শ্রী : তসলিম উদ্দিন</t>
  </si>
  <si>
    <t>শ্রী : দুলাল চন্দ্র</t>
  </si>
  <si>
    <t>শ্রী : সুশীল চন্দ</t>
  </si>
  <si>
    <t>মো: আলতাফ</t>
  </si>
  <si>
    <t>শ্রী : রনু</t>
  </si>
  <si>
    <t>শ্রী : ক্ষিতিষ চন্দ্র</t>
  </si>
  <si>
    <t>শ্রী : রাজেন্দ্রনাথ</t>
  </si>
  <si>
    <t>শ্রী : উপেন্দ্রনাথ</t>
  </si>
  <si>
    <t>শ্রী : সুদেব চন্দ্র</t>
  </si>
  <si>
    <t>মো:  আ: সুভান</t>
  </si>
  <si>
    <t>মো:  আ: রসিদ</t>
  </si>
  <si>
    <t>মো: আ: রউফ</t>
  </si>
  <si>
    <t>শ্রী : শ্যামল চন্দ্র</t>
  </si>
  <si>
    <t>শ্রী : চরন</t>
  </si>
  <si>
    <t>মো: কবির হোসেন</t>
  </si>
  <si>
    <t>মো: সোয়ব আলী</t>
  </si>
  <si>
    <t>মো: কালাম সেখ</t>
  </si>
  <si>
    <t>মোসা: রোকিয়া</t>
  </si>
  <si>
    <t>মো: মুনজুর</t>
  </si>
  <si>
    <t>শ্রী : সুজন চন্দ্র</t>
  </si>
  <si>
    <t>শ্রী : সম্ভূনাথ</t>
  </si>
  <si>
    <t>শ্রী : নিখিল চন্দ্র</t>
  </si>
  <si>
    <t>শ্রী : হরিস চরন</t>
  </si>
  <si>
    <t>শ্রী : মনরঞ্জন</t>
  </si>
  <si>
    <t>শ্রী : বীরেন্দ্রনাথ</t>
  </si>
  <si>
    <t>শ্রীমতি : সনেকা রানী</t>
  </si>
  <si>
    <t>শ্রী : বিলাশ চন্দ্র</t>
  </si>
  <si>
    <t>শ্রী : নির্মল চন্দ্র</t>
  </si>
  <si>
    <t>মো: ইসব আলী</t>
  </si>
  <si>
    <t>শ্রী : প্রদীপ কুমার</t>
  </si>
  <si>
    <t>শ্রী : গোপাল</t>
  </si>
  <si>
    <t>মো: আ: আমিন শেখ</t>
  </si>
  <si>
    <t>মো: আ: হামিদ শেখ</t>
  </si>
  <si>
    <t>মোসা: জহিরন বিবি</t>
  </si>
  <si>
    <t>মো: সেলিম আহম্মেদ</t>
  </si>
  <si>
    <t>মো: মৃত: আমির মন্ডল</t>
  </si>
  <si>
    <t>মো: আবুল কালাম আজাদ</t>
  </si>
  <si>
    <t>মো: বয়েজ আলী</t>
  </si>
  <si>
    <t>মো: বেসারত</t>
  </si>
  <si>
    <t>মো: নীজামুল হক</t>
  </si>
  <si>
    <t>মো: মোয়াজ্জেম</t>
  </si>
  <si>
    <t>শ্রী : রবীন্দ্রনাথ</t>
  </si>
  <si>
    <t>শ্রী : রঘুচরন</t>
  </si>
  <si>
    <t>শ্রী : রনজিত</t>
  </si>
  <si>
    <t>শ্রী : বাদল</t>
  </si>
  <si>
    <t>শ্রী :  বৈদ্যনাথ</t>
  </si>
  <si>
    <t>শ্রী : সমর চরন</t>
  </si>
  <si>
    <t>মো: রফিক ইসলাম</t>
  </si>
  <si>
    <t>মো: রবিউল্লাহ</t>
  </si>
  <si>
    <t>মো: শামসুল রহমান</t>
  </si>
  <si>
    <t>মো: শাহাদাত আলী</t>
  </si>
  <si>
    <t>মো: ইসরাইল</t>
  </si>
  <si>
    <t>মো: মোবারক আলী</t>
  </si>
  <si>
    <t>মো: কলিম</t>
  </si>
  <si>
    <t>শ্রী : বিপুল</t>
  </si>
  <si>
    <t>মো: ইয়াকুব আলী</t>
  </si>
  <si>
    <t>মো: ইয়ানুস</t>
  </si>
  <si>
    <t>মো: নাজমুল</t>
  </si>
  <si>
    <t>মো: নীজামুল</t>
  </si>
  <si>
    <t>মোসা: সালেহা পারভিন</t>
  </si>
  <si>
    <t>মো: আহাম্মদ</t>
  </si>
  <si>
    <t>শ্রী : বেনু কুমার</t>
  </si>
  <si>
    <t>শ্রী : সুরেশ চন্দ্র</t>
  </si>
  <si>
    <t>শ্রী : সুনিল চন্দ্র</t>
  </si>
  <si>
    <t>শ্রী : অমূল্য চরন</t>
  </si>
  <si>
    <t>শ্রী : আসিক</t>
  </si>
  <si>
    <t>শ্রী : রমনী মোহন</t>
  </si>
  <si>
    <t>মো: ইব্রাহীম</t>
  </si>
  <si>
    <t>মো: তরিকুল ইসলাম</t>
  </si>
  <si>
    <t>মো: আসাদুজ্জামান</t>
  </si>
  <si>
    <t>মো: মহররম</t>
  </si>
  <si>
    <t>শ্রী : পরিতোষ</t>
  </si>
  <si>
    <t>শ্রী : আকালুচরন</t>
  </si>
  <si>
    <t>শ্রী : কার্ত্তিক</t>
  </si>
  <si>
    <t>শ্রী : শ্যামাচরন</t>
  </si>
  <si>
    <t>শ্রী : রনজিত কুমার</t>
  </si>
  <si>
    <t>শ্রী : সুফল প্রামানিক</t>
  </si>
  <si>
    <t>শ্রী : বৈদ্যনাথ</t>
  </si>
  <si>
    <t>শ্রী : সুফল চন্দ্র</t>
  </si>
  <si>
    <t>শ্রী : বাবুল</t>
  </si>
  <si>
    <t>শ্রী : রিতেন্দ্রনাথ</t>
  </si>
  <si>
    <t>মো: খইবজান</t>
  </si>
  <si>
    <t>শ্রী : সুফল</t>
  </si>
  <si>
    <t>শ্রী : নন্দন</t>
  </si>
  <si>
    <t>শ্রী : মিঠু</t>
  </si>
  <si>
    <t>শ্রী : নরেন চন্দ</t>
  </si>
  <si>
    <t>শ্রী : গোপেন্দ্রনাথ</t>
  </si>
  <si>
    <t>মো: জালাল</t>
  </si>
  <si>
    <t>মো: ইনতাজ</t>
  </si>
  <si>
    <t>মো: খাইরুল</t>
  </si>
  <si>
    <t>মো: আজাহার</t>
  </si>
  <si>
    <t>শ্রী : নির্মল</t>
  </si>
  <si>
    <t>মো: আ: রাজ্জাক</t>
  </si>
  <si>
    <t>মো: মকসেদ</t>
  </si>
  <si>
    <t>শ্রী : অসিত কুমার</t>
  </si>
  <si>
    <t>শ্রী : রবিন্দ্রনাথ</t>
  </si>
  <si>
    <t>মো: র্জাদ্দিস</t>
  </si>
  <si>
    <t>শ্রী : অজিত চন্দ্র</t>
  </si>
  <si>
    <t>মো: একরামুল</t>
  </si>
  <si>
    <t>মো: মোহরোম</t>
  </si>
  <si>
    <t>শ্রী : সমর চন্দ্র</t>
  </si>
  <si>
    <t>শ্রী : রাই চরন</t>
  </si>
  <si>
    <t>শ্রী : তরনী</t>
  </si>
  <si>
    <t>মো: ইরসাদুল</t>
  </si>
  <si>
    <t>মো: ইসাইল</t>
  </si>
  <si>
    <t>মো: রহিম মোল্লা</t>
  </si>
  <si>
    <t>শ্রী : বিশ্বনাথ</t>
  </si>
  <si>
    <t>শ্রী : শম্ভুনাথ</t>
  </si>
  <si>
    <t>শ্রী : ষষ্টি চরণ</t>
  </si>
  <si>
    <t>শ্রী : ভূপেন্দ্রনাথ</t>
  </si>
  <si>
    <t>মোসা: সাহিদা খাতুন</t>
  </si>
  <si>
    <t>মো: শরীফ</t>
  </si>
  <si>
    <t>মোসা: রাসেদা খাতুন</t>
  </si>
  <si>
    <t>শ্রী : আকালু চরন</t>
  </si>
  <si>
    <t>শ্রী : নিরেন্দ্রনাথ</t>
  </si>
  <si>
    <t>শ্রী : রামপদ</t>
  </si>
  <si>
    <t>শ্রী : সত্যজিত পাল</t>
  </si>
  <si>
    <t>শ্রী : হরিপদ পাল</t>
  </si>
  <si>
    <t>শ্রী : দিনেশ চন্দ্র</t>
  </si>
  <si>
    <t>শ্রী : শুুম্ভু নাথ</t>
  </si>
  <si>
    <t>শ্রী : ভূজন কুমার</t>
  </si>
  <si>
    <t>মো: প্রভাস চন্দ্র</t>
  </si>
  <si>
    <t>মো: রাম পদ</t>
  </si>
  <si>
    <t>মো: আসরাফ আলী</t>
  </si>
  <si>
    <t>মো: গোলাম মুস্তফা</t>
  </si>
  <si>
    <t>শ্রী :  বাবুল চন্দ্র</t>
  </si>
  <si>
    <t>শ্রী : বুদু দাস</t>
  </si>
  <si>
    <t>শ্রী : অনিল কুমার</t>
  </si>
  <si>
    <t>শ্রী : বাবুল চন্দ্র</t>
  </si>
  <si>
    <t>মো: আ: মান্œান</t>
  </si>
  <si>
    <t>মো: শংকর আলী</t>
  </si>
  <si>
    <t>মো: রামেনদির</t>
  </si>
  <si>
    <t>শ্রী : সুনিল</t>
  </si>
  <si>
    <t>মো: মিজানুর</t>
  </si>
  <si>
    <t>মো: ফরিদ উদ্দিন</t>
  </si>
  <si>
    <t>মো: হারুন মোল্লা</t>
  </si>
  <si>
    <t>মো: চান্দু মোল্লা</t>
  </si>
  <si>
    <t>মোসা : নাজমা খাতুন</t>
  </si>
  <si>
    <t>মো: সাজ্জাদ সোহেন</t>
  </si>
  <si>
    <t>মো: বদিউর রহমান</t>
  </si>
  <si>
    <t>শ্রীমতি : অমলা রানী</t>
  </si>
  <si>
    <t>শ্রী : গোলক বিহাড়ী</t>
  </si>
  <si>
    <t>মো: শফিউল আলম</t>
  </si>
  <si>
    <t>মো: তসলিম আলী</t>
  </si>
  <si>
    <t>মো: মুসাহাক</t>
  </si>
  <si>
    <t>মো: খাইবোর</t>
  </si>
  <si>
    <t>মো: বজর</t>
  </si>
  <si>
    <t>শ্রী : ক্ষিতিশ চন্দ্র</t>
  </si>
  <si>
    <t>মো: আকবর</t>
  </si>
  <si>
    <t>শ্রী :  সম্ভু চন্দ্র</t>
  </si>
  <si>
    <t>শ্রী :  সুব্রত কুমার</t>
  </si>
  <si>
    <t>শ্রী :  দ্বিজেন্দ্রনাথ</t>
  </si>
  <si>
    <t>শ্রী :  তাপস কুমার</t>
  </si>
  <si>
    <t>শ্রী :  সন্তোস কুমার</t>
  </si>
  <si>
    <t>শ্রী :  শিখেন</t>
  </si>
  <si>
    <t>শ্রী :  হরি চরন</t>
  </si>
  <si>
    <t>মো: মুকবুল</t>
  </si>
  <si>
    <t>শ্রী :  নিশিকান্ত</t>
  </si>
  <si>
    <t>শ্রী :  ভূপেন্তনাথ</t>
  </si>
  <si>
    <t>মো: বরকত আলী</t>
  </si>
  <si>
    <t>শ্রী : অরুন চন্দ্র্র</t>
  </si>
  <si>
    <t>শ্রী : অমূল্য</t>
  </si>
  <si>
    <t>শ্রী : রাম মোহন</t>
  </si>
  <si>
    <t>শ্রী : মুরালী</t>
  </si>
  <si>
    <t>শ্রী : পরিমলচন্দ্র</t>
  </si>
  <si>
    <t>শ্রী : কৃষ্ণ চন্দ্র</t>
  </si>
  <si>
    <t>মোসা: শরিফা বেগম</t>
  </si>
  <si>
    <t>শ্রী : সুরেস চন্দ্র</t>
  </si>
  <si>
    <t>শ্রী : চন্দ্রন সাহা</t>
  </si>
  <si>
    <t>শ্রী :  জিতেন্দ্রনাথ</t>
  </si>
  <si>
    <t>শ্রী : ময়েজ মৃধা</t>
  </si>
  <si>
    <t>শ্রী : বেশারত</t>
  </si>
  <si>
    <t>শ্রী : সিতেন্দ্রনাথ</t>
  </si>
  <si>
    <t>শ্রী : নরেশ চন্দ্র</t>
  </si>
  <si>
    <t>মো: বছির</t>
  </si>
  <si>
    <t>শ্রী : কমল চন্দ্র</t>
  </si>
  <si>
    <t>শ্রী : সুভাষ চন্দ্র</t>
  </si>
  <si>
    <t>মো: হারুন রসিদ</t>
  </si>
  <si>
    <t>শ্রী : রতন কুমার</t>
  </si>
  <si>
    <t>শ্রী : গুরু চরন</t>
  </si>
  <si>
    <t>শ্রী : নরেন চন্দ্র</t>
  </si>
  <si>
    <t>শ্রী : বিনোদ চন্দ্র</t>
  </si>
  <si>
    <t>মো: সানাউল্লা</t>
  </si>
  <si>
    <t>মো: ওয়াজেদ আলী</t>
  </si>
  <si>
    <t>মো: ইসর আলী</t>
  </si>
  <si>
    <t>মো: এনতাজ</t>
  </si>
  <si>
    <t>মো: মাজেদা</t>
  </si>
  <si>
    <t>শ্রী : কাঞ্চন</t>
  </si>
  <si>
    <t>শ্রীমতি : দিপ্তী রানীী</t>
  </si>
  <si>
    <t>শ্রী : ভূপাল</t>
  </si>
  <si>
    <t>শ্রী : রাম গোপাল</t>
  </si>
  <si>
    <t>শ্রী : সুপদ</t>
  </si>
  <si>
    <t>শ্রী : দেবেন</t>
  </si>
  <si>
    <t>শ্রী : শ্রীদাম</t>
  </si>
  <si>
    <t>শ্রী : বাসুদেব</t>
  </si>
  <si>
    <t>মো: বদিউ জামান</t>
  </si>
  <si>
    <t>শ্রী : সুজিত কুমার</t>
  </si>
  <si>
    <t>মো: জারদ্দিস</t>
  </si>
  <si>
    <t>মো: আব্দল মান্নান</t>
  </si>
  <si>
    <t>মো: তৈাহিদুর</t>
  </si>
  <si>
    <t>মো: লুৎফর</t>
  </si>
  <si>
    <t>মো: বছির মোল্লা</t>
  </si>
  <si>
    <t>শ্রী : রসুচরন</t>
  </si>
  <si>
    <t>মো: রাজ্জাক</t>
  </si>
  <si>
    <t>মো: ছবির</t>
  </si>
  <si>
    <t>মো: আরসাদ আলী</t>
  </si>
  <si>
    <t>শ্রী : সুবাস</t>
  </si>
  <si>
    <t>মো: মকিউদ্দিন</t>
  </si>
  <si>
    <t>শ্রী : দৈদ্যনাথ</t>
  </si>
  <si>
    <t>মো: জহিরুদ্দিন</t>
  </si>
  <si>
    <t>মো: মঞ্জুর</t>
  </si>
  <si>
    <t>শ্রী : কামন চন্দ্র</t>
  </si>
  <si>
    <t>শ্রী : সুদেব</t>
  </si>
  <si>
    <t>শ্রী : মিত্যন</t>
  </si>
  <si>
    <t>মো: আব্দুর রহমান</t>
  </si>
  <si>
    <t>মো: আব্দুর রসিদ</t>
  </si>
  <si>
    <t>মো: স্বপন কুমার</t>
  </si>
  <si>
    <t>মো: বীরেন্দ্রনাথ</t>
  </si>
  <si>
    <t>মো: জহির মোল্লা</t>
  </si>
  <si>
    <t>মো: আমান মোল্ল</t>
  </si>
  <si>
    <t>মোসা: তাসিয়া</t>
  </si>
  <si>
    <t>শ্রী : মুসিল চন্দ্র</t>
  </si>
  <si>
    <t>মো: লুৎফর রহমান</t>
  </si>
  <si>
    <t>মো: জদ্দিস</t>
  </si>
  <si>
    <t>মো: বাক্কার সরদার</t>
  </si>
  <si>
    <t>মো: সুবীর সরদার</t>
  </si>
  <si>
    <t>শ্রী : আশুতোশ চন্দ্র</t>
  </si>
  <si>
    <t>শ্রী : ভবেশ চন্দ্র</t>
  </si>
  <si>
    <t>মো: দিলীপ</t>
  </si>
  <si>
    <t>মো: আকালু</t>
  </si>
  <si>
    <t>মো: আক্কাছ আলী</t>
  </si>
  <si>
    <t>মো: নছরতুল্ল</t>
  </si>
  <si>
    <t>শ্রী : প্রশান্ত কুমার</t>
  </si>
  <si>
    <t>মো: মাদার বক্স</t>
  </si>
  <si>
    <t>মো: আবুল হোসেন</t>
  </si>
  <si>
    <t>মো: মজিদ</t>
  </si>
  <si>
    <t>মো: নাছির উদ্দিন</t>
  </si>
  <si>
    <t>মো: মাহির</t>
  </si>
  <si>
    <t>মো: কফিল</t>
  </si>
  <si>
    <t>মো: খোদা</t>
  </si>
  <si>
    <t>মো: মামুন</t>
  </si>
  <si>
    <t>মো: মসলেম</t>
  </si>
  <si>
    <t>মো: নহির উদ্দিন</t>
  </si>
  <si>
    <t>মো: সমতুল্লাহ</t>
  </si>
  <si>
    <t>মো: হাসেম আলী</t>
  </si>
  <si>
    <t>মো: বরকত</t>
  </si>
  <si>
    <t>মোসা: খাদিজা</t>
  </si>
  <si>
    <t>মো: হাসান মন্ডল</t>
  </si>
  <si>
    <t>মো: কায়েস উদ্দিন</t>
  </si>
  <si>
    <t>মো: আ: কাশেম</t>
  </si>
  <si>
    <t>মো: বরকতুল্লাহ</t>
  </si>
  <si>
    <t>মো: সফিক</t>
  </si>
  <si>
    <t>মো: মছির</t>
  </si>
  <si>
    <t>মো: শুকুর</t>
  </si>
  <si>
    <t>মো: শামিম</t>
  </si>
  <si>
    <t>মো: সোহরাপ</t>
  </si>
  <si>
    <t>মো: হেরাজ উদ্দিন</t>
  </si>
  <si>
    <t>মো: কছিম মন্ডল</t>
  </si>
  <si>
    <t>মো: শুকুর উদ্দিন</t>
  </si>
  <si>
    <t>মো: করিম</t>
  </si>
  <si>
    <t>মো: নিরাস আলী</t>
  </si>
  <si>
    <t>মো: হায়াৎ উল্লাহ</t>
  </si>
  <si>
    <t>মো: সুকুর উদ্দিন</t>
  </si>
  <si>
    <t>মো: ফারুক হোসেন</t>
  </si>
  <si>
    <t>মো: রফিক উদ্দিন</t>
  </si>
  <si>
    <t>মো: নুরশেদ আলী</t>
  </si>
  <si>
    <t>মো: গাফ্ফার</t>
  </si>
  <si>
    <t>মো: ই¯্রাফিল</t>
  </si>
  <si>
    <t>মো: আব্দুল</t>
  </si>
  <si>
    <t>মো: খুবির সাহ</t>
  </si>
  <si>
    <t>মৃত: পাচ কড়ি</t>
  </si>
  <si>
    <t>শ্রী নুকুল প্রা:</t>
  </si>
  <si>
    <t>মো: লিটন আলী</t>
  </si>
  <si>
    <t>মো: কলিম আহাম্মেদ</t>
  </si>
  <si>
    <t>মো: মিঠন আহাম্মেদ</t>
  </si>
  <si>
    <t>মো: জহুরা বেগম</t>
  </si>
  <si>
    <t>মো: রইমান আলী</t>
  </si>
  <si>
    <t>মো: বাবুল ইসলাম</t>
  </si>
  <si>
    <t>মো: সাজাহান ইসলাম</t>
  </si>
  <si>
    <t>মো: বকুল হোসেন</t>
  </si>
  <si>
    <t>মো: গফুর আলী</t>
  </si>
  <si>
    <t>মো: মুসলেমা  বেগম</t>
  </si>
  <si>
    <t>মো: দানেস আলী</t>
  </si>
  <si>
    <t>মো: সামসুল ইসলাম</t>
  </si>
  <si>
    <t>মো: সুকুর আলী</t>
  </si>
  <si>
    <t>মো:  রইচ মন্ডল</t>
  </si>
  <si>
    <t>মো: করিচ মন্ডল</t>
  </si>
  <si>
    <t>মো: নিরাযন চন্দ্র</t>
  </si>
  <si>
    <t>মো: মধুনাথ চন্দ্র</t>
  </si>
  <si>
    <t>মো: শেখ ফরিদ</t>
  </si>
  <si>
    <t>মো: দানেস</t>
  </si>
  <si>
    <t>মো: কছিম উদ্দিন</t>
  </si>
  <si>
    <t>মোসা: আলেকজান বিবি</t>
  </si>
  <si>
    <t>মো: রহিম উদ্দিন</t>
  </si>
  <si>
    <t>মো: সুমন আলী</t>
  </si>
  <si>
    <t>মো: জিয়াউর রহমান</t>
  </si>
  <si>
    <t>মো: আসাদুল</t>
  </si>
  <si>
    <t>মো: আসকান</t>
  </si>
  <si>
    <t>মো: সাইফুদ্দিন</t>
  </si>
  <si>
    <t>মো: আয়ব আলী</t>
  </si>
  <si>
    <t>মো: আনোয়ার আলী</t>
  </si>
  <si>
    <t>মো: আহসান আলী</t>
  </si>
  <si>
    <t>মো: ফয়েজ আলী</t>
  </si>
  <si>
    <t>মো: বয়েজ উদ্দিন</t>
  </si>
  <si>
    <t>মো: মহির আলী</t>
  </si>
  <si>
    <t>মৃ: সীতল</t>
  </si>
  <si>
    <t>মো: মুখলেছ আলী</t>
  </si>
  <si>
    <t>মো: আতোর আলী</t>
  </si>
  <si>
    <t>মো: বজের আলী</t>
  </si>
  <si>
    <t>মো: আতিব আলী</t>
  </si>
  <si>
    <t>মো: বারিক উদ্দিন</t>
  </si>
  <si>
    <t>মৃ: হাকিম</t>
  </si>
  <si>
    <t>মো: কছিল উদ্দিন</t>
  </si>
  <si>
    <t>মো: হারুন প্রাং</t>
  </si>
  <si>
    <t>মো: সাজ্জাদ মোল্লা</t>
  </si>
  <si>
    <t>আ: কাশেম প্রাং</t>
  </si>
  <si>
    <t>মো: বেলাল প্রাং</t>
  </si>
  <si>
    <t>আ: সাত্তার প্রাং</t>
  </si>
  <si>
    <t>মো: আলিম উদ্দিন</t>
  </si>
  <si>
    <t>মৃত: হারু</t>
  </si>
  <si>
    <t>মো: আমিনুল ইসলাম জুয়েল</t>
  </si>
  <si>
    <t>মো: সাব্বির</t>
  </si>
  <si>
    <t>মৃত: কিসমত সরদার</t>
  </si>
  <si>
    <t>মো: জুয়েল রানা</t>
  </si>
  <si>
    <t>মো: আব্দুল হামিদ</t>
  </si>
  <si>
    <t>আ: সালাম</t>
  </si>
  <si>
    <t>মৃত: লহর</t>
  </si>
  <si>
    <t>মো: আমিনুল ইসলাম</t>
  </si>
  <si>
    <t>মো: ছামান আলী</t>
  </si>
  <si>
    <t>মৃত: গরিব উল্লাহ</t>
  </si>
  <si>
    <t>মো: আফরোজ</t>
  </si>
  <si>
    <t>মো: দারেজ</t>
  </si>
  <si>
    <t>মো: আব্দুল সামাদ</t>
  </si>
  <si>
    <t>মো: নজরুল মন্ডল</t>
  </si>
  <si>
    <t>মো: লহর মন্ডল</t>
  </si>
  <si>
    <t>মো: ইছহাক</t>
  </si>
  <si>
    <t>মৃত: চেকি প্রাং</t>
  </si>
  <si>
    <t>মো: চিমান মন্ডল</t>
  </si>
  <si>
    <t>মো: আলমগীর হোসেন</t>
  </si>
  <si>
    <t>মো: জামাল দেওয়ান</t>
  </si>
  <si>
    <t>মো: সাইছর আলী</t>
  </si>
  <si>
    <t>মো: সাগর আলী</t>
  </si>
  <si>
    <t>মো: মুকবুল হোসেন</t>
  </si>
  <si>
    <t>মো: সামসুদ্দিন মীর</t>
  </si>
  <si>
    <t>মো: দিলবর তালুকদার</t>
  </si>
  <si>
    <t>মৃত: আ: রহিম</t>
  </si>
  <si>
    <t>মো: জৈমত</t>
  </si>
  <si>
    <t>মৃত: আনির</t>
  </si>
  <si>
    <t>আ: সোবহান</t>
  </si>
  <si>
    <t>মো: বাবু</t>
  </si>
  <si>
    <t>আ: সোবহান মন্ডল</t>
  </si>
  <si>
    <t>মো: বিষা মন্ডল</t>
  </si>
  <si>
    <t>মো: কামরুল হাসান</t>
  </si>
  <si>
    <t>মো: হাসেম চৌধূরী</t>
  </si>
  <si>
    <t>মো: আজিজুল হক খান</t>
  </si>
  <si>
    <t>মৃ: পিয়ার বক্স খান</t>
  </si>
  <si>
    <t>মো: হাবির শাহ</t>
  </si>
  <si>
    <t>মো: মিছু শাহ</t>
  </si>
  <si>
    <t>মো: মোজারুল মন্ডল</t>
  </si>
  <si>
    <t>মো: আ: করিম মন্ডল</t>
  </si>
  <si>
    <t>মো: জেকের আলী</t>
  </si>
  <si>
    <t>মো: তমির প্রাং</t>
  </si>
  <si>
    <t>মো: এমাজ উদ্দীন</t>
  </si>
  <si>
    <t>মো: আ: আওয়াল</t>
  </si>
  <si>
    <t>মো: ফয়েজ উদ্দিন প্রাং</t>
  </si>
  <si>
    <t>আ: মজিদ</t>
  </si>
  <si>
    <t>মো: সিহাবুল ইসলাম</t>
  </si>
  <si>
    <t>মো: মতুজা আলী</t>
  </si>
  <si>
    <t>মো: নুরশেদ আলম</t>
  </si>
  <si>
    <t>মো: তাইনুস আলী</t>
  </si>
  <si>
    <t>মো: মোতালেব হোসেন</t>
  </si>
  <si>
    <t>মৃ: রঘুনাথ চন্দ্র</t>
  </si>
  <si>
    <t>মো: বারেক</t>
  </si>
  <si>
    <t>মৃ: কসিমুদ্দিন</t>
  </si>
  <si>
    <t>মো: ফানুস</t>
  </si>
  <si>
    <t>আ: জলিল</t>
  </si>
  <si>
    <t>আ: বারিক</t>
  </si>
  <si>
    <t>মো: বাবুল হোসেন</t>
  </si>
  <si>
    <t>মো: সিদ্দিক আলী</t>
  </si>
  <si>
    <t>মো: বশের আলী</t>
  </si>
  <si>
    <t>মো: রুবেল আলী</t>
  </si>
  <si>
    <t>মো: সাফিউল ইসলাম</t>
  </si>
  <si>
    <t>আ: খালেক</t>
  </si>
  <si>
    <t>মো: ইসরাফিল হক</t>
  </si>
  <si>
    <t>মো: শাহাজান প্রামানিক</t>
  </si>
  <si>
    <t>আ: রহমান</t>
  </si>
  <si>
    <t>মৃ: জয়নাল প্রাং</t>
  </si>
  <si>
    <t>মো: উজ্জল প্রাং</t>
  </si>
  <si>
    <t>মো: আশরাফুল ইসলাম</t>
  </si>
  <si>
    <t>মো: তোসলিম</t>
  </si>
  <si>
    <t>মো: আতাউল রহমান</t>
  </si>
  <si>
    <t>মো: সিরাজ মন্ডল</t>
  </si>
  <si>
    <t>আ: লতিব</t>
  </si>
  <si>
    <t>মৃ: সজের আলী</t>
  </si>
  <si>
    <t>মো: ইব্রাহীম খলিল</t>
  </si>
  <si>
    <t>মো: আ: গণি মন্ডল</t>
  </si>
  <si>
    <t>মো: সাহেব প্রামানিক</t>
  </si>
  <si>
    <t>মৃ: লহির প্রামানিক</t>
  </si>
  <si>
    <t>মো: আব্দুল জলিল</t>
  </si>
  <si>
    <t>মৃ: আ: রহমান</t>
  </si>
  <si>
    <t>মৃ: নূর মোহাম্মদ</t>
  </si>
  <si>
    <t>মো: সাজ্জাদ</t>
  </si>
  <si>
    <t>মো: গুলাপ</t>
  </si>
  <si>
    <t>মৃ: মহেন্দ্র</t>
  </si>
  <si>
    <t>মো: আলী মন্ডল</t>
  </si>
  <si>
    <t>মো: কাইওম</t>
  </si>
  <si>
    <t>মো: হালিম</t>
  </si>
  <si>
    <t>আ: রুস্তম আলী</t>
  </si>
  <si>
    <t>মৃ: খিতিশ</t>
  </si>
  <si>
    <t>আ: রশিদ</t>
  </si>
  <si>
    <t>মৃ: হজরত</t>
  </si>
  <si>
    <t>মৃ: আ: রাজ্জাক</t>
  </si>
  <si>
    <t>মোসা: সেলিনা বেগম</t>
  </si>
  <si>
    <t>মোসা: ফাতু বেঘম</t>
  </si>
  <si>
    <t>মোসা: ফরিদা</t>
  </si>
  <si>
    <t>আ: আজিজ</t>
  </si>
  <si>
    <t>মো: রতন আলী</t>
  </si>
  <si>
    <t>মো: ছামাদ</t>
  </si>
  <si>
    <t>মো: সায়েব</t>
  </si>
  <si>
    <t>মো: এরশাদ আলী</t>
  </si>
  <si>
    <t>মো: জানিউল্লা</t>
  </si>
  <si>
    <t>মো: ছাত্তার</t>
  </si>
  <si>
    <t>মৃ: সাহেব</t>
  </si>
  <si>
    <t>মো: লিটন</t>
  </si>
  <si>
    <t>মৃ: মতিলাল</t>
  </si>
  <si>
    <t>মৃ: মসলেম</t>
  </si>
  <si>
    <t>মো: মনিরুল ইসলাম</t>
  </si>
  <si>
    <t>মৃ: মমতাজ উদ্দীন</t>
  </si>
  <si>
    <t>মো: রাসেল বুলবুল</t>
  </si>
  <si>
    <t>মৃ: নইমদ্দিন</t>
  </si>
  <si>
    <t>মো: হারেজ</t>
  </si>
  <si>
    <t>মো: দাবেজ</t>
  </si>
  <si>
    <t>মো: অকির</t>
  </si>
  <si>
    <t>মৃ: এলাহী</t>
  </si>
  <si>
    <t>মো: লরিপ প্রাং</t>
  </si>
  <si>
    <t>মৃ: আমিনুল</t>
  </si>
  <si>
    <t>গিয়াস উদ্দীন নম:</t>
  </si>
  <si>
    <t>আ: হামিদ</t>
  </si>
  <si>
    <t>মো: মামুন হক</t>
  </si>
  <si>
    <t>মৃ: মেচের</t>
  </si>
  <si>
    <t>মো: নজিবুর</t>
  </si>
  <si>
    <t>আ: সালাম চৌধুরী</t>
  </si>
  <si>
    <t>মো: হোসেন চৌধুরী</t>
  </si>
  <si>
    <t>মৃ: ঘুটু মন্ডল</t>
  </si>
  <si>
    <t>মৃ: রহমান আলী</t>
  </si>
  <si>
    <t>মৃ: বছির প্রাং</t>
  </si>
  <si>
    <t>মো: আলী হাসান</t>
  </si>
  <si>
    <t>আ: বাক্কার</t>
  </si>
  <si>
    <t>মো: হাতেম মোল্লা</t>
  </si>
  <si>
    <t>মো: আ: হাকিম</t>
  </si>
  <si>
    <t>মো: পিয়ার মোল্লা</t>
  </si>
  <si>
    <t>মো: রবি মোল্লা</t>
  </si>
  <si>
    <t>মো: মহবত</t>
  </si>
  <si>
    <t>মো: জসীম উদ্দীন</t>
  </si>
  <si>
    <t>মো: শরিফুল</t>
  </si>
  <si>
    <t>মো: আকিমুদ্দীন</t>
  </si>
  <si>
    <t>আ: হাকিম</t>
  </si>
  <si>
    <t>মো: কোঁওর আলী</t>
  </si>
  <si>
    <t>মো: মাইরুল</t>
  </si>
  <si>
    <t>মো: মকশেদ আলী</t>
  </si>
  <si>
    <t>মো: সোহেল</t>
  </si>
  <si>
    <t>মো: হোসেন</t>
  </si>
  <si>
    <t>মো: ইদ্রীশ আলী</t>
  </si>
  <si>
    <t>মো: ইয়ানুশ আলী</t>
  </si>
  <si>
    <t>মৃ: মহাশেদ</t>
  </si>
  <si>
    <t>মো: ইয়ার মোল্লা</t>
  </si>
  <si>
    <t>মো: খয়েজ</t>
  </si>
  <si>
    <t>মো: ফেলু</t>
  </si>
  <si>
    <t>মো: হাফিজ উদ্দীন</t>
  </si>
  <si>
    <t>মো: রহিম উদ্দীন</t>
  </si>
  <si>
    <t>মো: রিয়াজ উদ্দীন</t>
  </si>
  <si>
    <t>মো: আপতাব ইদ্দীন</t>
  </si>
  <si>
    <t>মো: আতিকুর</t>
  </si>
  <si>
    <t>মৃ: ভাদু চঙদার</t>
  </si>
  <si>
    <t>মৃ: বাকু মন্ডল</t>
  </si>
  <si>
    <t>মোছা: রাহেমা</t>
  </si>
  <si>
    <t>মৃ: সাইফুদ্দিন</t>
  </si>
  <si>
    <t>মোছা: ফাতেমা বেগম</t>
  </si>
  <si>
    <t>মৃ: আহাদ আলী</t>
  </si>
  <si>
    <t>মোসা: রোকিয়া বেগম</t>
  </si>
  <si>
    <t>মৃ: রমজান</t>
  </si>
  <si>
    <t>মৃ: ইদ্রীশ আলী</t>
  </si>
  <si>
    <t>মৃ: মেঘু শেখ</t>
  </si>
  <si>
    <t>মৃ: রহমতুল্লা</t>
  </si>
  <si>
    <t>মো: সেলিম মন্ডল</t>
  </si>
  <si>
    <t>মোসা: বানেছা</t>
  </si>
  <si>
    <t>মো: শুকুর মোল্লা</t>
  </si>
  <si>
    <t>মো: ওমর আলী</t>
  </si>
  <si>
    <t>মৃ: কুদরত মন্ডল</t>
  </si>
  <si>
    <t>মৃ: মো: হোসেন</t>
  </si>
  <si>
    <t>মো: মোস্তফা</t>
  </si>
  <si>
    <t>মৃ: ঝরুমন্ডল</t>
  </si>
  <si>
    <t>আ: রহমান মন্ডল</t>
  </si>
  <si>
    <t>মৃ: আখচার</t>
  </si>
  <si>
    <t>মো: হেফাজ উদ্দীন মোল্লা</t>
  </si>
  <si>
    <t>মো: সোনতান মোল্লা</t>
  </si>
  <si>
    <t>মৃ: আরমে</t>
  </si>
  <si>
    <t>মৃ: মোজাম্মেল মৃধা</t>
  </si>
  <si>
    <t>মৃ: হালিম চৌধুরী</t>
  </si>
  <si>
    <t>মো: ছামান মন্ডল</t>
  </si>
  <si>
    <t>মৃ: আকবর মন্ডল</t>
  </si>
  <si>
    <t>মৃ: ময়েজ কাজী</t>
  </si>
  <si>
    <t>মো: মহির উদ্দীন</t>
  </si>
  <si>
    <t>মো: তরি প্রামানিক</t>
  </si>
  <si>
    <t>মো: কাসেম উদ্দীন</t>
  </si>
  <si>
    <t>মোসা: মজিদা বিবি</t>
  </si>
  <si>
    <t>মো: আছার প্রামানিক</t>
  </si>
  <si>
    <t>মো: আ: জাব্বার প্রাং</t>
  </si>
  <si>
    <t>মো: ইকবাল হোসেন</t>
  </si>
  <si>
    <t>মো: মনসুর রহমান</t>
  </si>
  <si>
    <t>মো: কটু প্রাং</t>
  </si>
  <si>
    <t>মৃ: আছার আলী</t>
  </si>
  <si>
    <t>আ: আজিজ মন্ডল</t>
  </si>
  <si>
    <t>মো: আ: মজিদ</t>
  </si>
  <si>
    <t>মো: ফরিদ</t>
  </si>
  <si>
    <t>মো: ফারুক</t>
  </si>
  <si>
    <t>মৃ: লহির প্রাং</t>
  </si>
  <si>
    <t>মো: আক্তার হোসেন</t>
  </si>
  <si>
    <t>মো: তোসলিম আলী</t>
  </si>
  <si>
    <t>আ: মালেক</t>
  </si>
  <si>
    <t>মো: এজাবুল</t>
  </si>
  <si>
    <t>মো: তোসলেম</t>
  </si>
  <si>
    <t>মৃ: মহির প্রাং</t>
  </si>
  <si>
    <t>আ: আলিম</t>
  </si>
  <si>
    <t>মৃ: জামনি প্রাং</t>
  </si>
  <si>
    <t>মৃ: সবলাল প্রাং</t>
  </si>
  <si>
    <t>আ: রাজ্জাক</t>
  </si>
  <si>
    <t>মো: তোসলেম উদ্দীন</t>
  </si>
  <si>
    <t>মো: বাবুল প্রাং</t>
  </si>
  <si>
    <t>মো: হেরাজ উদ্দীন</t>
  </si>
  <si>
    <t>মো: মোজাম্মেল সোনার</t>
  </si>
  <si>
    <t>মো: আব্দুস সালাম</t>
  </si>
  <si>
    <t>মৃ: ছাহির উদ্দীন</t>
  </si>
  <si>
    <t>মো: ইনতাজ আলী</t>
  </si>
  <si>
    <t>সন্তোস কুমার প্রা:</t>
  </si>
  <si>
    <t>মো: মামুন আলী</t>
  </si>
  <si>
    <t>কফিল প্রা:</t>
  </si>
  <si>
    <t>আবুল হোসেন প্রা:</t>
  </si>
  <si>
    <t>গরিবুল্লা প্রা:</t>
  </si>
  <si>
    <t>মো: দবির আলী</t>
  </si>
  <si>
    <t>জলিল প্রা:</t>
  </si>
  <si>
    <t>আলাউদ্দীন প্রা:</t>
  </si>
  <si>
    <t>মৃ: শ্যাম মুরমু</t>
  </si>
  <si>
    <t>শ্রী চরন চৌ:</t>
  </si>
  <si>
    <t>রাম বিলাস চৌ:</t>
  </si>
  <si>
    <t>আ: সামাদ</t>
  </si>
  <si>
    <t>মৃ: কিসমত চৌ:</t>
  </si>
  <si>
    <t>ছমির উদ্দীন প্রা:</t>
  </si>
  <si>
    <t>শুকুর উদ্দীন প্রা:</t>
  </si>
  <si>
    <t>মোছা: ফতেমা বিবি</t>
  </si>
  <si>
    <t>ভিজো প্রা:</t>
  </si>
  <si>
    <t>মোসা: আলেমা বিবি</t>
  </si>
  <si>
    <t>মো: ফয়েজ উদ্দীন</t>
  </si>
  <si>
    <t>মৃ: অদল পিয়াদা</t>
  </si>
  <si>
    <t>মৃ: মহির উদ্দীন</t>
  </si>
  <si>
    <t>আ: কালাম আজাদ</t>
  </si>
  <si>
    <t>মো: মেকু</t>
  </si>
  <si>
    <t>আ: করিম</t>
  </si>
  <si>
    <t>মো: কফিরুল্লা</t>
  </si>
  <si>
    <t>মৃ: সমশের আলী</t>
  </si>
  <si>
    <t>মো: আলম মন্ডল</t>
  </si>
  <si>
    <t>মৃ: মুলাম</t>
  </si>
  <si>
    <t>মাহিদুল প্রা:</t>
  </si>
  <si>
    <t>মো: ছইম উদ্দীন</t>
  </si>
  <si>
    <t>মো: আনারুল</t>
  </si>
  <si>
    <t>মো: শাহিন</t>
  </si>
  <si>
    <t>আ: আলিম প্রাং</t>
  </si>
  <si>
    <t>মো: আ: হালিম</t>
  </si>
  <si>
    <t>মো: আ: কালাম</t>
  </si>
  <si>
    <t>মৃ: মফিজ উদ্দীন</t>
  </si>
  <si>
    <t>মো: সিরাজ উদ্দীন</t>
  </si>
  <si>
    <t>মো: আলীপুর</t>
  </si>
  <si>
    <t>মো: পিন্টু</t>
  </si>
  <si>
    <t>আ: গাফ্ফার</t>
  </si>
  <si>
    <t>আ: সাত্তার</t>
  </si>
  <si>
    <t>আ: মান্নান</t>
  </si>
  <si>
    <t>মো: মিল্টন</t>
  </si>
  <si>
    <t>আ: জব্বার</t>
  </si>
  <si>
    <t>মো: ছুবান মন্ডল</t>
  </si>
  <si>
    <t>মো: চেরু মন্ডল</t>
  </si>
  <si>
    <t>মো: জমির মন্ডল</t>
  </si>
  <si>
    <t>মো: কেকু মন্ডল</t>
  </si>
  <si>
    <t>মো: মেরাজ মন্ডল</t>
  </si>
  <si>
    <t>মো: আবুল মন্ডল</t>
  </si>
  <si>
    <t>মো: সফুরুন্না</t>
  </si>
  <si>
    <t>মৃত: মঙ্গলা</t>
  </si>
  <si>
    <t>মো: মুৎলা</t>
  </si>
  <si>
    <t>মো: কালাম হোসেন</t>
  </si>
  <si>
    <t>মৃত: তাহার আলী</t>
  </si>
  <si>
    <t>মো: রেজাউল শাহা</t>
  </si>
  <si>
    <t>মো: আ: খালেক শাহা</t>
  </si>
  <si>
    <t>মো: রহমতুল্যা মন্ডল</t>
  </si>
  <si>
    <t>মো: ঝাড়– মন্ডল</t>
  </si>
  <si>
    <t>মো: আমদালী মন্ডল</t>
  </si>
  <si>
    <t>মৃত: ঝাড়– মন্ডল</t>
  </si>
  <si>
    <t>মো: আব্দুল রাজ্জাক</t>
  </si>
  <si>
    <t>মো: ইয়াছিন আলী</t>
  </si>
  <si>
    <t>মৃত: শুকুর মন্ডল</t>
  </si>
  <si>
    <t>মুত: দবির  উদ্দিন</t>
  </si>
  <si>
    <t>মৃত: সুলেমান মন্ডল</t>
  </si>
  <si>
    <t>মো: কালামুদ্দিন</t>
  </si>
  <si>
    <t>মো: নছির মন্ডল</t>
  </si>
  <si>
    <t>মৃত: লেপুর মন্ডল</t>
  </si>
  <si>
    <t>মৃত: তরি মন্ডল</t>
  </si>
  <si>
    <t>মৃত: সেফাতুল্যা মন্ডল</t>
  </si>
  <si>
    <t>মৃত: আকবর আলী</t>
  </si>
  <si>
    <t>মো: শামসুল উদ্দিন</t>
  </si>
  <si>
    <t>মৃত: পিয়ার দফাদার</t>
  </si>
  <si>
    <t>মো: ইবাহিম মন্ডল</t>
  </si>
  <si>
    <t>মৃত: কাদির মন্ডল</t>
  </si>
  <si>
    <t>মো: আব্দুল সাত্তার</t>
  </si>
  <si>
    <t>মো: লাল মোহাম্মদ</t>
  </si>
  <si>
    <t>মো: যদি মন্ডল</t>
  </si>
  <si>
    <t>মো: নজির উদ্দিন</t>
  </si>
  <si>
    <t>মো: জসিমুদ্দিন</t>
  </si>
  <si>
    <t>মো: তরি মন্ডল</t>
  </si>
  <si>
    <t>মো: আব্দুরল খালেক শাহা</t>
  </si>
  <si>
    <t>মৃত: নজরুল ইসলাম</t>
  </si>
  <si>
    <t>মৃত: আব্দুল জব্বার</t>
  </si>
  <si>
    <t>মো: সহিমুদ্দিন মন্ডল</t>
  </si>
  <si>
    <t>মো: কেরামতুল্লা</t>
  </si>
  <si>
    <t>মো: আবদুল্লাহ</t>
  </si>
  <si>
    <t>মো: লৎফর রহমান</t>
  </si>
  <si>
    <t>মো: আয়েন উদ্দিন</t>
  </si>
  <si>
    <t>মো: তাহির উদ্দিন</t>
  </si>
  <si>
    <t>মো: ছবিল উদ্দিন প্রা:</t>
  </si>
  <si>
    <t>মো: সদী প্রা</t>
  </si>
  <si>
    <t>মো: আ: ছালাম সরকার</t>
  </si>
  <si>
    <t>মৃত: সেফাতুল্লা  মন্ডল</t>
  </si>
  <si>
    <t>মো: এমামুল হক</t>
  </si>
  <si>
    <t>মৃত: নূর মোহাম্মদ</t>
  </si>
  <si>
    <t>মো: মুনছুর সোনার</t>
  </si>
  <si>
    <t>মো: অছিম উদ্দিন সোনার</t>
  </si>
  <si>
    <t>মো: সিরাজুল ইসলাম</t>
  </si>
  <si>
    <t>মো: আকির উদ্দিন</t>
  </si>
  <si>
    <t>মৃত : তাহার মন্ডল</t>
  </si>
  <si>
    <t>মো: রেজানুর রহমান</t>
  </si>
  <si>
    <t>মো: সরিফুল হোসেন</t>
  </si>
  <si>
    <t>মৃত : সফিকুল ইসলাম</t>
  </si>
  <si>
    <t>মো: সোহরাপ হোসেন</t>
  </si>
  <si>
    <t>মো: অবির আলী মন্ডল</t>
  </si>
  <si>
    <t>মো: হায়দার আলী</t>
  </si>
  <si>
    <t>মো: আ: গফুর</t>
  </si>
  <si>
    <t>মো: আসরাফুল ইসলাম</t>
  </si>
  <si>
    <t>মো: মসলেম উদ্দিন</t>
  </si>
  <si>
    <t>মো: পিয়ার আলী মন্ডল</t>
  </si>
  <si>
    <t>মো: লালবর মন্ডল</t>
  </si>
  <si>
    <t>মো: জাফর আলী</t>
  </si>
  <si>
    <t>মো: নজিবর রহমান</t>
  </si>
  <si>
    <t>মো: মুঞ্জুর রহমান</t>
  </si>
  <si>
    <t>মো: মনোয়ার হোসেন</t>
  </si>
  <si>
    <t>মো: রফাতুল্লা মন্ডল</t>
  </si>
  <si>
    <t>মো: আ: রাজ্জাক মন্ডল</t>
  </si>
  <si>
    <t>মো: বদের আলী মন্ডল</t>
  </si>
  <si>
    <t>মৃত : সাকাতুল্লা মন্ডল</t>
  </si>
  <si>
    <t>মো: হারুন আর রসিদ</t>
  </si>
  <si>
    <t>মৃত : সুলেমান মন্ডল</t>
  </si>
  <si>
    <t>মো: মানিক মন্ডল</t>
  </si>
  <si>
    <t>মো: তোতাউর রহমান</t>
  </si>
  <si>
    <t>মো: ছেফাতুল্লা মন্ডল</t>
  </si>
  <si>
    <t>মো: রমজান মন্ডল</t>
  </si>
  <si>
    <t>মো: আবু বাক্কার সিদ্দিক</t>
  </si>
  <si>
    <t>মো: আবুল কাসেম</t>
  </si>
  <si>
    <t>মো: আহসান হাবিব</t>
  </si>
  <si>
    <t>মো: ইব্রাহিম মন্ডল</t>
  </si>
  <si>
    <t>মো: বুলবুল</t>
  </si>
  <si>
    <t>মৃত : ছামান আলী মন্ডল</t>
  </si>
  <si>
    <t>মো: মাহাফিজুর ইসলাম</t>
  </si>
  <si>
    <t>মো: লালমহাম্মদ</t>
  </si>
  <si>
    <t>মো: বাসির খাঁ</t>
  </si>
  <si>
    <t>মো: আহাদ বক্স মন্ডল</t>
  </si>
  <si>
    <t>মো: গোলাম রসুল</t>
  </si>
  <si>
    <t>মৃত : তাহের উদ্দিন</t>
  </si>
  <si>
    <t>মো: মোসলেম মন্ডল</t>
  </si>
  <si>
    <t>মৃত : আহাদ বক্স মন্ডল</t>
  </si>
  <si>
    <t>মো: সওদাগর মন্ডল</t>
  </si>
  <si>
    <t>মো: তাজিরুল ইসলাম</t>
  </si>
  <si>
    <t>মো: ফজলুর রহমান</t>
  </si>
  <si>
    <t>মৃত : জমিন মন্ডল</t>
  </si>
  <si>
    <t>মো: এবাদুল্লা মন্ডল</t>
  </si>
  <si>
    <t>মো: সামসুল আলম</t>
  </si>
  <si>
    <t>মো: সাফাতুল্লা মন্ডল</t>
  </si>
  <si>
    <t>মো: সিরাজ উদ্দিন আজাদ</t>
  </si>
  <si>
    <t>মৃত : ঈদল মন্ডল</t>
  </si>
  <si>
    <t>শ্রী : বিরেন চন্দ্র পা:</t>
  </si>
  <si>
    <t>শ্রী : সতিশ চন্দ্র পা:</t>
  </si>
  <si>
    <t>শ্রী : নিমাই চন্দ্র পা:</t>
  </si>
  <si>
    <t>শ্রী : হলোধর চন্দ্র পা:</t>
  </si>
  <si>
    <t>মো: জুলফিকার আলী ভুট্টু</t>
  </si>
  <si>
    <t>মো: সাবের আলী</t>
  </si>
  <si>
    <t>মো: তালেব আলী দেওয়ান</t>
  </si>
  <si>
    <t>মো: লতিব মন্ডল</t>
  </si>
  <si>
    <t>মো: জানা মন্ডল</t>
  </si>
  <si>
    <t>মো: তসের উদ্দিন</t>
  </si>
  <si>
    <t>মৃত : পিয়ার মন্ডল</t>
  </si>
  <si>
    <t>মো: পিয়ার মন্ডল</t>
  </si>
  <si>
    <t>মো: সাইফদ্দিন</t>
  </si>
  <si>
    <t>মো: সুফিয়ান ইসলাম</t>
  </si>
  <si>
    <t>মো: মশিউর রহমান</t>
  </si>
  <si>
    <t>মো: সাহিন আলম</t>
  </si>
  <si>
    <t>মো: মজির মন্ডল</t>
  </si>
  <si>
    <t>মো: আজাহার আলী</t>
  </si>
  <si>
    <t>মো: মজির উদ্দিন মন্ডল</t>
  </si>
  <si>
    <t>মো: আব্দুল মন্ডল</t>
  </si>
  <si>
    <t>মো: আসাদুর জামান</t>
  </si>
  <si>
    <t>মো: আ: সোবাহান</t>
  </si>
  <si>
    <t>মো: সফর আলী মন্ডল</t>
  </si>
  <si>
    <t>মো: ইব্রাহিম হোসেন</t>
  </si>
  <si>
    <t>শ্রী : দুলাল চন্দ্র পা:</t>
  </si>
  <si>
    <t>শ্রী : ক্ষতিশ চন্দ্র পা:</t>
  </si>
  <si>
    <t>শ্রী : জিতেন চন্দ্র পা:</t>
  </si>
  <si>
    <t>শ্রী : নন্দ চন্দ্র পা:</t>
  </si>
  <si>
    <t>শ্রী : পঞ্চকুমার চন্দ্র পা:</t>
  </si>
  <si>
    <t>শ্রী : ক্ষিতিশ চন্দ্র পা:</t>
  </si>
  <si>
    <t>শ্রী : পরিতোস চন্দ্র পা:</t>
  </si>
  <si>
    <t>শ্রী : জতেন চন্দ্র পা:</t>
  </si>
  <si>
    <t>শ্রী : বিপেন চন্দ্র পা:</t>
  </si>
  <si>
    <t>শ্রী : হারান চন্দ্র পা:</t>
  </si>
  <si>
    <t>শ্রী : নিগেন চন্দ্র পা:</t>
  </si>
  <si>
    <t>শ্রী : নিতাই চন্দ্র পা:</t>
  </si>
  <si>
    <t>মৃত : সামান আলী মন্ডল</t>
  </si>
  <si>
    <t>মো: আফসার আলী মন্ডল</t>
  </si>
  <si>
    <t>মো: সরিফুল ইসলাম</t>
  </si>
  <si>
    <t>মৃত : আ: গফুর মন্ডল</t>
  </si>
  <si>
    <t>মো: আমিন  উদ্দিন</t>
  </si>
  <si>
    <t>মো: সইল্যা মন্ডল</t>
  </si>
  <si>
    <t>মো: আমদ আলী</t>
  </si>
  <si>
    <t>মো: কেফাতুল্লা মন্ডল</t>
  </si>
  <si>
    <t>মো: গুল মহাম্মদ মন্ডল</t>
  </si>
  <si>
    <t>মো: নয়ন</t>
  </si>
  <si>
    <t>মো: বাবু মন্ডল</t>
  </si>
  <si>
    <t>মো: ইয়াসিন আলী মন্ডল</t>
  </si>
  <si>
    <t>মো: সবুজ রানা</t>
  </si>
  <si>
    <t>মৃত : আব্দুল করিম মন্ডল</t>
  </si>
  <si>
    <t>মো: আফসাার আলী মন্ডল</t>
  </si>
  <si>
    <t>মৃত : আমজেদ আলী মন্ডল</t>
  </si>
  <si>
    <t>মো: সরিফুজ্জামান</t>
  </si>
  <si>
    <t>মো: মোকবুল হোসেন মন্ডল</t>
  </si>
  <si>
    <t>মো: মিরাতুন ইসলাম</t>
  </si>
  <si>
    <t>মো: আলী হোসেন</t>
  </si>
  <si>
    <t>মো: তনজেব আলী মন্ডল</t>
  </si>
  <si>
    <t>মো: আজিমুদ্দিন মন্ডল</t>
  </si>
  <si>
    <t>শ্রী : নিবারন চন্দ্র প্রা:</t>
  </si>
  <si>
    <t>শ্রী : নিরাঞ্জন চন্দ্র প্রা:</t>
  </si>
  <si>
    <t>শ্রী : জতিন চন্দ্র পা:</t>
  </si>
  <si>
    <t>শ্রী : গৌউর চন্দ্র প্রা:</t>
  </si>
  <si>
    <t>শ্রী : লক্ষন চন্দ্র পা:</t>
  </si>
  <si>
    <t>শ্রী : সুফল চন্দ্র পা:</t>
  </si>
  <si>
    <t>মো: বেলাল মন্ডল</t>
  </si>
  <si>
    <t>মৃত: আমদালী মন্ডল</t>
  </si>
  <si>
    <t>মো: হাফেজ আলী</t>
  </si>
  <si>
    <t>মো: আশরাফুল  ইসলাম</t>
  </si>
  <si>
    <t>মো: মুজাম হোসেন</t>
  </si>
  <si>
    <t>মো: অবিরালী মন্ডল</t>
  </si>
  <si>
    <t>মো: তমির উদ্দিন</t>
  </si>
  <si>
    <t>মো: মঞ্জিলা মন্ডল</t>
  </si>
  <si>
    <t>মো: তনজেব আলী</t>
  </si>
  <si>
    <t>মো: হানিফ মন্ডল</t>
  </si>
  <si>
    <t>মো: মুকবুল হোসেন মন্ডল</t>
  </si>
  <si>
    <t>মো: বাদুল্যা আলী</t>
  </si>
  <si>
    <t>মো: জামাল হোসেন</t>
  </si>
  <si>
    <t>মো: আবির আলী</t>
  </si>
  <si>
    <t>মো: বিষু মন্ডল</t>
  </si>
  <si>
    <t>মো: আমদ আলী মন্ডল</t>
  </si>
  <si>
    <t>মো: কাউছার আলী</t>
  </si>
  <si>
    <t>মো: ইলিয়াস মন্ডল</t>
  </si>
  <si>
    <t>মৃত: ইদির মন্ডল</t>
  </si>
  <si>
    <t>মো: সহিমুদ্দিন</t>
  </si>
  <si>
    <t>মো: শাফিউল ইসলাম</t>
  </si>
  <si>
    <t>মো: শামছুল মন্ডল</t>
  </si>
  <si>
    <t>মো: নদের আলী মন্ডল</t>
  </si>
  <si>
    <t>মোসা: বিবি জান বেগম</t>
  </si>
  <si>
    <t>মৃত: শফিকুল ইসলাম</t>
  </si>
  <si>
    <t>মো: মোজাহার আলী মন্ডল</t>
  </si>
  <si>
    <t>মৃত: সোলেমান মন্ডল</t>
  </si>
  <si>
    <t>মো: আব্দুল মান্নান</t>
  </si>
  <si>
    <t>মো: মইদুল ইসলাম</t>
  </si>
  <si>
    <t>মো: মজিদুল মন্ডল</t>
  </si>
  <si>
    <t>মো: ছেফাতুল্যা মন্ডল</t>
  </si>
  <si>
    <t>মো: সুখচান</t>
  </si>
  <si>
    <t>মো: ওসমান মন্ডল</t>
  </si>
  <si>
    <t>মো: ইমাজ উদ্দিন</t>
  </si>
  <si>
    <t>মো: খয়েজ উদ্দিন</t>
  </si>
  <si>
    <t>মো: সাহার মন্ডল</t>
  </si>
  <si>
    <t>মো: লূৎফর রহমান</t>
  </si>
  <si>
    <t>মৃত: মাদার মন্ডল</t>
  </si>
  <si>
    <t>মো: রুবেল মন্ডল</t>
  </si>
  <si>
    <t>মো: নাহার মন্ডল</t>
  </si>
  <si>
    <t>মো: রোস্তম আলী</t>
  </si>
  <si>
    <t>মো: ইয়ার আলী মন্ডল</t>
  </si>
  <si>
    <t>মো: গোলাম মোস্তাফা</t>
  </si>
  <si>
    <t>মৃত: বছির মন্ডল</t>
  </si>
  <si>
    <t>মোসা: মাহমুদা খাতুন</t>
  </si>
  <si>
    <t>মো: মকছেদ আলী মন্ডল</t>
  </si>
  <si>
    <t>মো: ইয়াসিন আলী</t>
  </si>
  <si>
    <t>মো: তাহার মন্ডল</t>
  </si>
  <si>
    <t>মৃত: তাহার মন্ডল</t>
  </si>
  <si>
    <t>মো: সারোয়ার হোসাইন</t>
  </si>
  <si>
    <t>মো: আমিনুল হক</t>
  </si>
  <si>
    <t>মো: কছির মন্ডল</t>
  </si>
  <si>
    <t>মো: সখাতুল্যা মন্ডল</t>
  </si>
  <si>
    <t>মো: রাকিব উদ্দিন</t>
  </si>
  <si>
    <t>মো: আনির মন্ডল</t>
  </si>
  <si>
    <t>মো: কছিম উদ্দিন মন্ডল</t>
  </si>
  <si>
    <t>মো: তসলিম উদ্দিন</t>
  </si>
  <si>
    <t>মৃত: আহাদ বক্রা মন্ডল</t>
  </si>
  <si>
    <t>মো: সামসুজ্জামান</t>
  </si>
  <si>
    <t>শ্রী: নিরেন চন্দ্র প্রা:</t>
  </si>
  <si>
    <t>শ্রী: লক্ষনচন্দ্র প্রা:</t>
  </si>
  <si>
    <t>মো: মুনতাজ আলী</t>
  </si>
  <si>
    <t>মো: ময়েজ উদ্দিন মন্ডল</t>
  </si>
  <si>
    <t>মো: মসকির আলম</t>
  </si>
  <si>
    <t>মো: জীতু মন্ডল</t>
  </si>
  <si>
    <t>মো: এনায়েত মন্ডল</t>
  </si>
  <si>
    <t>মো: ইসরাইল হোসেন</t>
  </si>
  <si>
    <t>মৃত: আহাদ আলী মন্ডল</t>
  </si>
  <si>
    <t>মো: জামাল সোনার</t>
  </si>
  <si>
    <t>মো: ছামেদ আলী সোনার</t>
  </si>
  <si>
    <t>মো: কুতোব উদ্দিন</t>
  </si>
  <si>
    <t>মো: বয়ান উদ্দিন মন্ডল</t>
  </si>
  <si>
    <t>মো: জাহাঞ্গ</t>
  </si>
  <si>
    <t>মো: সুলতান আহমেদ</t>
  </si>
  <si>
    <t>মৃত: সোলেমান আলী মন্ডল</t>
  </si>
  <si>
    <t>মৃত: মোবারক হোসেন</t>
  </si>
  <si>
    <t>মো: সেলিম উদ্দিন</t>
  </si>
  <si>
    <t>মো: তাজিমুদ্দিন</t>
  </si>
  <si>
    <t>শ্রী: হীরেন্দ্রনাথ প্রা:</t>
  </si>
  <si>
    <t>শ্রী: ধীরেন চন্দ্র প্রা:</t>
  </si>
  <si>
    <t>শ্রী: রঞ্জন কুমার</t>
  </si>
  <si>
    <t>শ্রী: নিরেন চন্দ্র সরকার</t>
  </si>
  <si>
    <t>শ্রী: বিরেন চন্দ্র সরকার</t>
  </si>
  <si>
    <t>শ্রী: পলাশ কুমার</t>
  </si>
  <si>
    <t>শ্রী: ষষ্টি চন্দ্র কুমার</t>
  </si>
  <si>
    <t>শ্রী: সুকেশ চন্দ্র প্রা:</t>
  </si>
  <si>
    <t>শ্রী: নগেন্দ্রনাথ প্রা:</t>
  </si>
  <si>
    <t>শ্রী: যাদব চন্দ্র প্রা:</t>
  </si>
  <si>
    <t>মৃত: শ্যামচরন প্রা:</t>
  </si>
  <si>
    <t>শ্রী: সুজন কুমার মন্ডল</t>
  </si>
  <si>
    <t>শ্রী: রাজেন মন্ডল</t>
  </si>
  <si>
    <t>শ্রী: নন্দেশ্বর সরকার</t>
  </si>
  <si>
    <t>শ্রী: কার্তিক চন্দ্র সরকার</t>
  </si>
  <si>
    <t>শ্রী: সুকুমানর কুমার সরকার</t>
  </si>
  <si>
    <t>শ্রী: বিশ্বনাথ সরকার</t>
  </si>
  <si>
    <t>শ্রী: অসীম কুমার প্রা:</t>
  </si>
  <si>
    <t>শ্রী: আনন্দ চন্দ্র প্রা:</t>
  </si>
  <si>
    <t>মো: লাহার আলী মৃধা</t>
  </si>
  <si>
    <t>মো: আমির হোসেন</t>
  </si>
  <si>
    <t>মো: মনির মন্ডল</t>
  </si>
  <si>
    <t>মো: আদম উদ্দিন শাহ</t>
  </si>
  <si>
    <t>মো: তসলেম খা</t>
  </si>
  <si>
    <t>মো: বাশেল মন্ডলে</t>
  </si>
  <si>
    <t>মো: কালাম মন্ডল</t>
  </si>
  <si>
    <t>মো: শফিক উদ্দিন</t>
  </si>
  <si>
    <t>মৃত: রফিক উদ্দিন</t>
  </si>
  <si>
    <t>মো: তোফাজ্জল হক</t>
  </si>
  <si>
    <t>মৃত: জসিম উদ্দিন সোনার</t>
  </si>
  <si>
    <t>মো: ফয়েজ উদিদ্দন</t>
  </si>
  <si>
    <t>মো: মানু মন্ডল</t>
  </si>
  <si>
    <t>মো: কালাম শেখ</t>
  </si>
  <si>
    <t>মো: তৈয়দ শেখ</t>
  </si>
  <si>
    <t>মো: জুয়েল মন্ডল</t>
  </si>
  <si>
    <t>মো: মোজাফফর হোসেন</t>
  </si>
  <si>
    <t>মো: ছেফাতুল্লা সোনার</t>
  </si>
  <si>
    <t>মো: বাবুল শাহা</t>
  </si>
  <si>
    <t>মো: আবুল সাহা</t>
  </si>
  <si>
    <t>মো: মামুনুর রশিদ</t>
  </si>
  <si>
    <t>মো: মুনসেদ আলী</t>
  </si>
  <si>
    <t>মো: আশরাফুল</t>
  </si>
  <si>
    <t>মো: খালেক মোল্লা</t>
  </si>
  <si>
    <t>মো: রাজ্জাক সাহা</t>
  </si>
  <si>
    <t>মো: হোসেন আলী সাহা</t>
  </si>
  <si>
    <t>মো: সশিউর রহমান</t>
  </si>
  <si>
    <t>মো: রফাতুল্য মোল্লা</t>
  </si>
  <si>
    <t>মৃত: বাবর আলী</t>
  </si>
  <si>
    <t>মো: সামসুল সরকার</t>
  </si>
  <si>
    <t>মো: আজিজ সরদার</t>
  </si>
  <si>
    <t>মো: মনয়ারুল</t>
  </si>
  <si>
    <t>মৃত: নজের আলী</t>
  </si>
  <si>
    <t>মো: হাতেম মুন্না</t>
  </si>
  <si>
    <t>মোসা: সাহানারা বেগম</t>
  </si>
  <si>
    <t>মো: রইচ উদ্দিন সোনার</t>
  </si>
  <si>
    <t>মৃত: উসমান সোনার</t>
  </si>
  <si>
    <t>মো: সাজ্জাদ হোসেন</t>
  </si>
  <si>
    <t>মো: ফসি উদ্দিন মোল্লা</t>
  </si>
  <si>
    <t>মো: বাবু আলী</t>
  </si>
  <si>
    <t>মো: জসিম উদ্দিন মোল্লা</t>
  </si>
  <si>
    <t>মো: আলাল উদ্দিন</t>
  </si>
  <si>
    <t>মো: জিয়াউর উদ্দিন মন্ডল</t>
  </si>
  <si>
    <t>মো: তাইফর রহমান</t>
  </si>
  <si>
    <t>মো: মোজাফর মন্ডল</t>
  </si>
  <si>
    <t>মো: ওছমান মন্ডল</t>
  </si>
  <si>
    <t>মো: জহির আলী দেওয়ান</t>
  </si>
  <si>
    <t>মো: সৈয়দ আলী</t>
  </si>
  <si>
    <t>মো: সমশের মোল্লা</t>
  </si>
  <si>
    <t>মো: আরিফ মোল্লা</t>
  </si>
  <si>
    <t>মো: পেনসু আলী</t>
  </si>
  <si>
    <t>মো: আব্দুর রাজ্জাক প্রা:</t>
  </si>
  <si>
    <t>মো: বাদল আলী</t>
  </si>
  <si>
    <t>মৃত: বদর উদ্দিন</t>
  </si>
  <si>
    <t>মো: আলমগীর  হোসেন</t>
  </si>
  <si>
    <t>মো: ফয়েজ উদ্দিন মন্ডল</t>
  </si>
  <si>
    <t>মো: তাহের আলী  দেওয়ান</t>
  </si>
  <si>
    <t>মো: সৈয়দ আলী দেওয়ান</t>
  </si>
  <si>
    <t>মো: আব্দুল রফিক মন্ডল</t>
  </si>
  <si>
    <t>মো: সামাদ মন্ডল</t>
  </si>
  <si>
    <t>মো: সামির মন্ডল</t>
  </si>
  <si>
    <t>মো: বিলাত মন্ডল</t>
  </si>
  <si>
    <t>মৃত: ভেদো মোল্লা</t>
  </si>
  <si>
    <t>মো: আজগর মোল্লা</t>
  </si>
  <si>
    <t>মো: গম মোল্লা</t>
  </si>
  <si>
    <t>মৃত: ফজর আলী</t>
  </si>
  <si>
    <t>মো: নিয়ামত মন্ডল</t>
  </si>
  <si>
    <t>মৃত: বজের মন্ডল</t>
  </si>
  <si>
    <t>মো: রথিন সাহা</t>
  </si>
  <si>
    <t>মো: অনিল সাহা</t>
  </si>
  <si>
    <t>মো: জামেদ আলী</t>
  </si>
  <si>
    <t>মো: লহর আলী সরকার</t>
  </si>
  <si>
    <t>মো: অমল প্রা:</t>
  </si>
  <si>
    <t>মো: বিশ্বনাথ প্রা:</t>
  </si>
  <si>
    <t>মো: ইব্রাহিম শেখ</t>
  </si>
  <si>
    <t>মো: বাবুল  দেওয়ান</t>
  </si>
  <si>
    <t>মো: মেছের দেওয়ান</t>
  </si>
  <si>
    <t>মো: ইউসুফ</t>
  </si>
  <si>
    <t>মো: ফজ্জেল মন্ডল</t>
  </si>
  <si>
    <t>মো: কেরামত মন্ডল</t>
  </si>
  <si>
    <t>মো: আ: রহমান ত্বোথ</t>
  </si>
  <si>
    <t>মো: মতিন মন্ডল</t>
  </si>
  <si>
    <t>মো: আসরাফ মন্ডল</t>
  </si>
  <si>
    <t>শ্রী: সুমন কুমার সরকার</t>
  </si>
  <si>
    <t>মো: ননী গোপাল সরকার</t>
  </si>
  <si>
    <t>মো: ননী গোবাল সখ</t>
  </si>
  <si>
    <t>মো: রাম  গোপাল</t>
  </si>
  <si>
    <t>শ্রী: লক্ষন মন্ডল</t>
  </si>
  <si>
    <t>মৃত: পানেস্বর</t>
  </si>
  <si>
    <t>মো: জাইফুরল ইসলাম</t>
  </si>
  <si>
    <t>মো: ফুমোর আলী</t>
  </si>
  <si>
    <t>শ্রী: অখিকা চন্দ্র মন্ডল</t>
  </si>
  <si>
    <t>মৃত: রমেশ চন্দ্র</t>
  </si>
  <si>
    <t>মো: তোয়াজ্জল হোসেন</t>
  </si>
  <si>
    <t>মো: ইদুজ হক</t>
  </si>
  <si>
    <t>মো: আ: বাশেদ আলী</t>
  </si>
  <si>
    <t>মো: সমতুল্যা</t>
  </si>
  <si>
    <t>মো: জনাব আলী</t>
  </si>
  <si>
    <t>মৃত: তহির উদ্দিন</t>
  </si>
  <si>
    <t>শ্রী: দিপেশ কুমার সরকার</t>
  </si>
  <si>
    <t>শ্রী: দ্বিজেন্দ্রনাথ সরকার</t>
  </si>
  <si>
    <t>মো: সুনাতন মোল্লা</t>
  </si>
  <si>
    <t>মো: শখাতুল্যা মোল্লা</t>
  </si>
  <si>
    <t>মোসা: জলেখা বেগম</t>
  </si>
  <si>
    <t>মো: আব্দল জববার মৃধা</t>
  </si>
  <si>
    <t>মো: ইয়ার মহাম্মদ</t>
  </si>
  <si>
    <t>মো: রাসেল বিশ্বাস</t>
  </si>
  <si>
    <t>মো: ইবনে সাইদ</t>
  </si>
  <si>
    <t>মো: কামরুজ্জানমান বকুল</t>
  </si>
  <si>
    <t>মো: সামশদ্দিন সরকার</t>
  </si>
  <si>
    <t>মো: মসাহাক আলী</t>
  </si>
  <si>
    <t>মো: আস্কর আলী</t>
  </si>
  <si>
    <t>মো: আনসারুল সরকার</t>
  </si>
  <si>
    <t>মো:  আজিজুর রহমান</t>
  </si>
  <si>
    <t>মো: জয়নাল আবেদীন</t>
  </si>
  <si>
    <t>মো: শমতুল্যা মোল্লা</t>
  </si>
  <si>
    <t>মো: কুফাত মোল্লা</t>
  </si>
  <si>
    <t>মো: ওসমান মোল্লা</t>
  </si>
  <si>
    <t>মো: সুলেমান মোল্লা</t>
  </si>
  <si>
    <t>মো: ছাবেদালী</t>
  </si>
  <si>
    <t>শ্রী: আসকর আলী</t>
  </si>
  <si>
    <t>মো: এমরুল কাশেম</t>
  </si>
  <si>
    <t>মো: লাল মহাম্মদ বিশ্বাস</t>
  </si>
  <si>
    <t>মো: হাফিজুর রহমান</t>
  </si>
  <si>
    <t>মো: ইসাহাক  আলী</t>
  </si>
  <si>
    <t>মো: গাফফার আলী</t>
  </si>
  <si>
    <t>মৃত: ছামির উদ্দিন</t>
  </si>
  <si>
    <t>মো: কামরুজ্জানমান</t>
  </si>
  <si>
    <t>মো: ময়েজ উদ্দিন মোল্লা</t>
  </si>
  <si>
    <t>মো: খোদা বক্রা</t>
  </si>
  <si>
    <t>মো: জিয়ার উদ্দিন</t>
  </si>
  <si>
    <t>মো: লাহার আলী মন্ডল</t>
  </si>
  <si>
    <t>মৃত: আববাচ আলী মন্ডল</t>
  </si>
  <si>
    <t>মো: কবির উদ্দিন</t>
  </si>
  <si>
    <t>মৃত: হারু মন্ডল</t>
  </si>
  <si>
    <t>মো: মোবারক সরকার</t>
  </si>
  <si>
    <t>মো: খুদি সরকার</t>
  </si>
  <si>
    <t>মো: এমদাদুল</t>
  </si>
  <si>
    <t>মো: মছির উদ্দিন মোল্লা</t>
  </si>
  <si>
    <t>মো: খয়েজ উদ্দিন মোল্লা</t>
  </si>
  <si>
    <t>মৃত: শুকুর উদ্দিন মোল্লা</t>
  </si>
  <si>
    <t>মো: নেমাজ উদ্দিন মোল্লা</t>
  </si>
  <si>
    <t>মো: অকির মোল্লা</t>
  </si>
  <si>
    <t>শ্রী: বিশ্বজিৎ কুমার রবিদাস</t>
  </si>
  <si>
    <t>শ্রী: শিবনাথ রবিদাস</t>
  </si>
  <si>
    <t>শ্রী: মিঠুন কুমার প্রা:</t>
  </si>
  <si>
    <t>শ্রী: সনজিত প্রা:</t>
  </si>
  <si>
    <t>শ্রী: হিরেন চন্দ্র চৌধুরী</t>
  </si>
  <si>
    <t>শ্রী: ক্ষিতিশ চন্দ্র প্রা:</t>
  </si>
  <si>
    <t>শ্রী: নন্দন প্রা:</t>
  </si>
  <si>
    <t>শ্রী: রাম প্রা:</t>
  </si>
  <si>
    <t>শ্রী: ব্রজেস্বর পন্ডিত</t>
  </si>
  <si>
    <t>মৃত: অবিনাশ পন্ডিত</t>
  </si>
  <si>
    <t>শ্রী: কেদার চন্দ্র প্রা:</t>
  </si>
  <si>
    <t>শ্রী: সুবোধ চন্দ্র প্রা:</t>
  </si>
  <si>
    <t>শ্রী: বিনোদ চন্দ্র প্রা:</t>
  </si>
  <si>
    <t>শ্রী: নয়ন চন্দ্র প্রা:</t>
  </si>
  <si>
    <t>শ্রী: কেদার প্রা:</t>
  </si>
  <si>
    <t>শ্রী: সঞ্জিত প্রা:</t>
  </si>
  <si>
    <t>শ্রী: বিনত প্রা:</t>
  </si>
  <si>
    <t>শ্রী: দিপেন চন্দ্র</t>
  </si>
  <si>
    <t>মৃত: মহিন্দির</t>
  </si>
  <si>
    <t>শ্রী: তারাপদ দেবনাথ</t>
  </si>
  <si>
    <t>শ্রী: লক্ষন চন্দ্র</t>
  </si>
  <si>
    <t>শ্রী: বলরাম দেবনাথ</t>
  </si>
  <si>
    <t>মৃত: নিপেন চন্দ্র</t>
  </si>
  <si>
    <t>শ্রী: দ্বিপেন কুমার সরকার</t>
  </si>
  <si>
    <t>শ্রী: দ্বিজেন্দনাথ সরকার</t>
  </si>
  <si>
    <t>শ্রী: দ্বিপক কুমার সরকার</t>
  </si>
  <si>
    <t>শ্রী: রনি সরকার</t>
  </si>
  <si>
    <t>শ্রী: দ্বিপক সরকার</t>
  </si>
  <si>
    <t>শ্রী: দ্বিগেন্দ্রনাথ সরকার</t>
  </si>
  <si>
    <t>শ্রী: গোবিন্দ চৌধুরী</t>
  </si>
  <si>
    <t>শ্রী: নিরেন চৌধুরী</t>
  </si>
  <si>
    <t>শ্রী: শ্যামল চন্দ্র</t>
  </si>
  <si>
    <t>শ্রী: লক্ষন চন্দ্র প্রা:</t>
  </si>
  <si>
    <t>শ্রী: কইলাস</t>
  </si>
  <si>
    <t>শ্রী: নিহার চৌধুরী</t>
  </si>
  <si>
    <t>শ্রী: চিত্তরঞ্জন প্রা:</t>
  </si>
  <si>
    <t>শ্রী: বিরেন চন্দ্র পন্ডিত</t>
  </si>
  <si>
    <t>শ্রী: অজিত প্রা:</t>
  </si>
  <si>
    <t>শ্রী: কেতার প্রা:</t>
  </si>
  <si>
    <t>শ্রী: সত্যেন্দ্রনাথ চৌধুরী</t>
  </si>
  <si>
    <t>শ্রী: সতীশ চন্দ্র চৌধুরী</t>
  </si>
  <si>
    <t>শ্রী: অমল চন্দ্র</t>
  </si>
  <si>
    <t>শ্রী: রমেস চন্দ্র মন্ডল</t>
  </si>
  <si>
    <t>শ্রী: সুবোল চন্দ্র</t>
  </si>
  <si>
    <t>মৃত: শতলাল</t>
  </si>
  <si>
    <t>শ্রী: গনেশ চন্দ্র মন্ডল</t>
  </si>
  <si>
    <t>শ্রী: সনজয় চন্দ্র মন্ডল</t>
  </si>
  <si>
    <t>শ্রী: আনন্দ কুমার</t>
  </si>
  <si>
    <t>শ্রী: অষ্টম কুমার প্রা:</t>
  </si>
  <si>
    <t>শ্রী: সুকেশ প্রা:</t>
  </si>
  <si>
    <t>শ্রী: অমুল্য রতন</t>
  </si>
  <si>
    <t>শ্রী: বস্কেস্বর সরকার</t>
  </si>
  <si>
    <t>শ্রী: সুকেষ চন্দ্র প্রা:</t>
  </si>
  <si>
    <t>শ্রী: বিনত চন্দ্র প্রা:</t>
  </si>
  <si>
    <t>শ্রী: খগেন চন্দ্র দেবনাথ</t>
  </si>
  <si>
    <t>মৃত: লিলাধর</t>
  </si>
  <si>
    <t>শ্রী: কার্তিক চন্দ্র মন্ডল</t>
  </si>
  <si>
    <t>মৃত: রমেশ চন্দ্র মন্ডল</t>
  </si>
  <si>
    <t>মো: আ: গাফফার শেখ</t>
  </si>
  <si>
    <t>মো: ইসমাইল শেখ</t>
  </si>
  <si>
    <t>শ্রী: সত্যেন চন্দ্র</t>
  </si>
  <si>
    <t>মৃত: দীজেন্দ্রনাথ</t>
  </si>
  <si>
    <t>শ্রী: নগেন চন্দ্র দেবনাথ</t>
  </si>
  <si>
    <t>শ্রী: লক্ষন চন্দ্র দেবনাথ</t>
  </si>
  <si>
    <t>শ্রী: আনন্দ কুমার প্রা:</t>
  </si>
  <si>
    <t>শ্রী: অনিল চন্দ্র</t>
  </si>
  <si>
    <t>শ্রী: সুভাষ চন্দ্র প্রা:</t>
  </si>
  <si>
    <t>মোসা: সুসিলা বেগম</t>
  </si>
  <si>
    <t>মো: সোনা মোল্লা</t>
  </si>
  <si>
    <t>মো: ফুল মোহাম্মদ</t>
  </si>
  <si>
    <t>মৃত: হানিফ মন্ডল</t>
  </si>
  <si>
    <t>মো: মাজেদ আলী</t>
  </si>
  <si>
    <t>মো: হাতেন আলী</t>
  </si>
  <si>
    <t>মৃত: তারোন মন্ডল</t>
  </si>
  <si>
    <t>মো: ছাত্তার আলী</t>
  </si>
  <si>
    <t>মো: ছামির প্রা:</t>
  </si>
  <si>
    <t>মো: লুতফর রহমান মন্ডল</t>
  </si>
  <si>
    <t>মৃত: এবাদুল্লা মন্ডল</t>
  </si>
  <si>
    <t>মো: ইয়ানুছ আলী</t>
  </si>
  <si>
    <t>মো: মোজাহার সোনার</t>
  </si>
  <si>
    <t>মো: আসাদ সোনার</t>
  </si>
  <si>
    <t>মো: জববার শেখ</t>
  </si>
  <si>
    <t>মো: আ: আব্দুল হাকিম</t>
  </si>
  <si>
    <t>মো: সামসুদ্দিন সরকার</t>
  </si>
  <si>
    <t>শ্রী: শিবনাথ মন্ডল</t>
  </si>
  <si>
    <t>শ্রী: গোপাল মন্ডল</t>
  </si>
  <si>
    <t>শ্রী: উজ্জল চন্দ্র মন্ডল</t>
  </si>
  <si>
    <t>শ্রী: সুকুমার মন্ডল</t>
  </si>
  <si>
    <t>শ্রী: বিশ্বনাথ প্রা:</t>
  </si>
  <si>
    <t>শ্রী: মেঘনাল প্রা:</t>
  </si>
  <si>
    <t>শ্রী: হিরেন্দ্রনাথ মালাকার</t>
  </si>
  <si>
    <t>শ্রী: বিহারি মালাকার</t>
  </si>
  <si>
    <t>শ্রী: সুরেন চন্দ্র</t>
  </si>
  <si>
    <t>শ্রী: পুশনারামন</t>
  </si>
  <si>
    <t>মৃত: পুলিন কবিরাজ</t>
  </si>
  <si>
    <t>শ্রী: রাজ কুমার প্রা:</t>
  </si>
  <si>
    <t>শ্রী: গোবিন্দ মালাকার</t>
  </si>
  <si>
    <t>শ্রী: হিরেন্দ্রনাথ সরকার</t>
  </si>
  <si>
    <t>শ্রী: পরিতোষ প্রা:</t>
  </si>
  <si>
    <t>শ্রী: মেঘনাস প্রা:</t>
  </si>
  <si>
    <t>শ্রী: সুনিল চন্দ্র প্রা:</t>
  </si>
  <si>
    <t>শ্রী: বিনোত চন্দ্র প্রা:</t>
  </si>
  <si>
    <t>মো: নুর মহাম্মদ</t>
  </si>
  <si>
    <t>মো: অধির মোল্লা</t>
  </si>
  <si>
    <t>মো: আল মামুন প্রা:</t>
  </si>
  <si>
    <t>মো:  আমির উদ্দিন প্রা:</t>
  </si>
  <si>
    <t>মো: আবজাল হোসেন</t>
  </si>
  <si>
    <t>মো: আমির উদ্দিন প্রা:</t>
  </si>
  <si>
    <t>মো: সিরাজ উাদ্দন</t>
  </si>
  <si>
    <t>মৃত: বিম্ভ প্রা:</t>
  </si>
  <si>
    <t>মো: সাহাদত হোসেন</t>
  </si>
  <si>
    <t>মো: আব্দুল মান্নান মন্ডল</t>
  </si>
  <si>
    <t>মো: ইসলাম আলী মন্ডল</t>
  </si>
  <si>
    <t>মো: শরিক উদ্দিন</t>
  </si>
  <si>
    <t>মৃত: আকালু</t>
  </si>
  <si>
    <t>মো: ফরাদ আলী</t>
  </si>
  <si>
    <t>মো: ওয়াসিম ইসলাম</t>
  </si>
  <si>
    <t>মো: হযরত আলী মন্ডল</t>
  </si>
  <si>
    <t>মো: দাউদ আলী</t>
  </si>
  <si>
    <t>মৃত: লেকী মন্ডল</t>
  </si>
  <si>
    <t>মো: খোদা বক্রা মোল্ল্রা</t>
  </si>
  <si>
    <t>মো: তাহের উদ্দিন</t>
  </si>
  <si>
    <t>মো: আমিরুল ইসলাম টিটন</t>
  </si>
  <si>
    <t>মো: আব্দুল রহমান মিদুল</t>
  </si>
  <si>
    <t>মো: ফেেয়জ উদ্দিন মন্ডল</t>
  </si>
  <si>
    <t>মো: আদাকৃষ্ণ প্রা:</t>
  </si>
  <si>
    <t>মো: শামসদ্দিন মন্ডল</t>
  </si>
  <si>
    <t>মো: আকবর মৃধা</t>
  </si>
  <si>
    <t>মো: তাহের মৃধা</t>
  </si>
  <si>
    <t>মো: সাহিনুল ইসলাম</t>
  </si>
  <si>
    <t>মো: আনিকুল ইসলাম</t>
  </si>
  <si>
    <t>মো: দবির মৃধা</t>
  </si>
  <si>
    <t>মো: নেকবর মৃধা</t>
  </si>
  <si>
    <t>মো: আব্দুল রহিম</t>
  </si>
  <si>
    <t>মো: সাইফুর রহমান</t>
  </si>
  <si>
    <t>মো: আব্দুল করিম</t>
  </si>
  <si>
    <t>মো: সামসুদ্দিন মন্ডল</t>
  </si>
  <si>
    <t>মো: কামরুলজ্জামান</t>
  </si>
  <si>
    <t>মো: আব্দুল কাদের মৃধা</t>
  </si>
  <si>
    <t>মো: রহিম মন্ডল</t>
  </si>
  <si>
    <t>মো: আ: রহিম মন্ডল</t>
  </si>
  <si>
    <t>মো: রেজাউল করিম</t>
  </si>
  <si>
    <t>মো: আব্দুল হাকিম</t>
  </si>
  <si>
    <t>মো: আবু সুফিয়ান মোল্লা</t>
  </si>
  <si>
    <t>মৃত: সলেমান মোল্লা</t>
  </si>
  <si>
    <t>শ্রী : দিপেশ কুমার সরকার</t>
  </si>
  <si>
    <t>শ্রী : দ্বিজেনন্দ্রনাথ সরকার</t>
  </si>
  <si>
    <t>শ্রী : শিবেন্দ্রনাথ সরকার</t>
  </si>
  <si>
    <t>শ্রীমতি: সবিতা সরকার</t>
  </si>
  <si>
    <t>শ্রী : দ্বিবেন্দ্রনাথ সরকার</t>
  </si>
  <si>
    <t>শ্রী : গনেশ চন্দ্র</t>
  </si>
  <si>
    <t>মৃত: ভোলানাথ দাস</t>
  </si>
  <si>
    <t>শ্রী : হিরেন চন্দ্র পন্ডিত</t>
  </si>
  <si>
    <t>শ্রী : বিরনে চন্দ্র পন্ডিত</t>
  </si>
  <si>
    <t>মো: সামির প্রা:</t>
  </si>
  <si>
    <t>মো: আসরাফুল আলম</t>
  </si>
  <si>
    <t>মো: শাহজাহান ফারুক</t>
  </si>
  <si>
    <t>মো: আবুল ফজল বিশ্বাস</t>
  </si>
  <si>
    <t>মো: ফাইজুল ইসলাম</t>
  </si>
  <si>
    <t>শ্রী : শৈলেন চন্দ্র চৌধুরী</t>
  </si>
  <si>
    <t>শ্রী : সতীশ চন্দ্র চৌধুরী</t>
  </si>
  <si>
    <t>মৃত: ইমাজ উদ্দিন</t>
  </si>
  <si>
    <t>মো: শহাজামাল</t>
  </si>
  <si>
    <t>শ্রী : স্বপন কুমার সরকার</t>
  </si>
  <si>
    <t>শ্রী: ধীরেন্দ্রনাথ সরকার</t>
  </si>
  <si>
    <t>শ্রী : দিলীপ কুমার সরকার</t>
  </si>
  <si>
    <t>শ্রী : ধীরেন্দ্রনাথ সরকার</t>
  </si>
  <si>
    <t>শ্রী : প্রাতাপ কুমার প্রা:</t>
  </si>
  <si>
    <t>শ্রী : মেধপাল প্রা:</t>
  </si>
  <si>
    <t>মোসা: কমেলা বেগম</t>
  </si>
  <si>
    <t>মো: সেকেন্দার মোল্লা</t>
  </si>
  <si>
    <t>মো: জাইফুল ইসলাম</t>
  </si>
  <si>
    <t>মো: সলেমান মোল্লা</t>
  </si>
  <si>
    <t>মো: খাাইরুল ইসলাম</t>
  </si>
  <si>
    <t>মো: আ: রাহম মন্ডল</t>
  </si>
  <si>
    <t>মো: রহিচ উদ্দিন</t>
  </si>
  <si>
    <t>মো: শাহাদত হোসেন</t>
  </si>
  <si>
    <t>মো: আবু সামাদ</t>
  </si>
  <si>
    <t>মো: মাজেদা আলী</t>
  </si>
  <si>
    <t>মো: সলেমান আলী</t>
  </si>
  <si>
    <t>মো: লোকমান হাকিম</t>
  </si>
  <si>
    <t>মো: সোলেমান  মোল্লা</t>
  </si>
  <si>
    <t>শ্রী : দ্বিবেন্দু সরকার</t>
  </si>
  <si>
    <t>মো: দ্বিজেন্দনাথ সরকার</t>
  </si>
  <si>
    <t>মো: তাইজুল ইসলাম</t>
  </si>
  <si>
    <t>মো: সনা মন্ডল</t>
  </si>
  <si>
    <t>মো: এলেম মন্ডল</t>
  </si>
  <si>
    <t>মো: জান মোহাম্মদ মন্ডল</t>
  </si>
  <si>
    <t>মো: সলিম মন্ডল</t>
  </si>
  <si>
    <t>মো: আব্দুর রহিম</t>
  </si>
  <si>
    <t>মো: রফিকাল ইসলাম</t>
  </si>
  <si>
    <t>মো: আজিমুদ্দিন শেখ</t>
  </si>
  <si>
    <t>মৃত: আবু বাক্কার</t>
  </si>
  <si>
    <t>মো: ময়েজ আলী</t>
  </si>
  <si>
    <t>মো: বাবু দেওয়ান</t>
  </si>
  <si>
    <t>মো: সৈয়দ দেওয়ান</t>
  </si>
  <si>
    <t>মো: ফাইজুদ্দিন</t>
  </si>
  <si>
    <t>মো: শহিদ ইসলাম</t>
  </si>
  <si>
    <t>মো: বাচ্চু মন্ডল</t>
  </si>
  <si>
    <t>মো: তোজাখেল মন্ডল</t>
  </si>
  <si>
    <t>মো: শামিম মন্ডল</t>
  </si>
  <si>
    <t>মো: মামুন মোল্ল</t>
  </si>
  <si>
    <t>মো: রইস উদ্দিন শাহা</t>
  </si>
  <si>
    <t>মো: শরিয়ত সাহা</t>
  </si>
  <si>
    <t>মো: মমিন মন্ডল</t>
  </si>
  <si>
    <t>মো: শফিকুল ইসলাাম</t>
  </si>
  <si>
    <t>মো: ইয়াছিন ালিী</t>
  </si>
  <si>
    <t>মো: তানছার আলী</t>
  </si>
  <si>
    <t>মো: আসরাফুল আলী</t>
  </si>
  <si>
    <t>মো: রহমান সাহা</t>
  </si>
  <si>
    <t>মো: সুলতান মন্ডল</t>
  </si>
  <si>
    <t>মো: আব্দুস সাত্তার</t>
  </si>
  <si>
    <t>মো: এলাহি মন্ডল</t>
  </si>
  <si>
    <t>মো: জিিহর</t>
  </si>
  <si>
    <t>মো: ছামাদ  আলী</t>
  </si>
  <si>
    <t>মৃত: পচা মন্ডল</t>
  </si>
  <si>
    <t>মো: সাত্তার মন্ডল</t>
  </si>
  <si>
    <t>মো: সোলেমান আলী</t>
  </si>
  <si>
    <t>মো: আব্দুল মজিদ  মন্ডল</t>
  </si>
  <si>
    <t>মো: ঁজান মোহাম্মদ</t>
  </si>
  <si>
    <t>মো: আলিম আলী</t>
  </si>
  <si>
    <t>মো: দিলিপ দাস</t>
  </si>
  <si>
    <t>মো: দ্বীজেন্দ্রনাথ দাস</t>
  </si>
  <si>
    <t>শ্রী : রনজিত সাহা</t>
  </si>
  <si>
    <t>শ্রী : রাম জীবন সাহা</t>
  </si>
  <si>
    <t>শ্রী : সাগর কুমার</t>
  </si>
  <si>
    <t>শ্রী : নিরেন্দনাথ দাস</t>
  </si>
  <si>
    <t>শ্রী : প্রদীপ মন্ডল</t>
  </si>
  <si>
    <t>মৃত: রাম চদ্র মন্ডল</t>
  </si>
  <si>
    <t>মো: মতিন</t>
  </si>
  <si>
    <t>মো: মোহাম্মদ আলী</t>
  </si>
  <si>
    <t>মোসা: মফেজান বেগম</t>
  </si>
  <si>
    <t>শ্রী : ওকির মোল্লা</t>
  </si>
  <si>
    <t>শ্রী : বিনয় চন্দ্র দাস</t>
  </si>
  <si>
    <t>মো: হৃদয় চন্দ্র মন্ডল</t>
  </si>
  <si>
    <t>মো: ইন্তাজ আলী</t>
  </si>
  <si>
    <t>মৃত: হোসেন আলী</t>
  </si>
  <si>
    <t>মো: এবারত আলী</t>
  </si>
  <si>
    <t>মো: সমসের আলী</t>
  </si>
  <si>
    <t>মো: ওয়হেদ আলী</t>
  </si>
  <si>
    <t>শ্রী : লক্ষন চন্দ্র দাস</t>
  </si>
  <si>
    <t>শ্রী: যতিন্দ্রনাথ দাস</t>
  </si>
  <si>
    <t>শ্রী : হারান চদ্র দাস</t>
  </si>
  <si>
    <t>শ্রী : মনীন্দ্রনাথ মন্ডল</t>
  </si>
  <si>
    <t>শ্রী : মতিলাল মন্ডল</t>
  </si>
  <si>
    <t>মৃত: কালু আলী</t>
  </si>
  <si>
    <t>মো: বেলাল হোসেন</t>
  </si>
  <si>
    <t>মোসা: কাফিনুর বিবি</t>
  </si>
  <si>
    <t>মো: সাইদুল মন্ডল</t>
  </si>
  <si>
    <t>মো: সোনা মন্ডল</t>
  </si>
  <si>
    <t>মো: আছির উদ্দিন মন্ডল</t>
  </si>
  <si>
    <t>মো: আদম মন্ডল</t>
  </si>
  <si>
    <t>মো: আসরাফুল</t>
  </si>
  <si>
    <t>মো: সাইফুদ্দিন মন্ডল</t>
  </si>
  <si>
    <t>মো: পেশকার আলী</t>
  </si>
  <si>
    <t>মো: মহসিন আলী</t>
  </si>
  <si>
    <t>মো: আব্দুল লাহিল বাকি</t>
  </si>
  <si>
    <t>মো: কামরুল ইসলাম</t>
  </si>
  <si>
    <t>মৃত: শুকুর আলী</t>
  </si>
  <si>
    <t>মো: আব্দস সামাদ সাহা</t>
  </si>
  <si>
    <t>মো: মহরম সাহা</t>
  </si>
  <si>
    <t>শ্রী : রাম প্রসাদ সাহা</t>
  </si>
  <si>
    <t>মো: আবুহেনা মোস্তাফা</t>
  </si>
  <si>
    <t>শ্রী : রামকান্ত সরকার</t>
  </si>
  <si>
    <t>শ্রী : রামনন্দ সরকার</t>
  </si>
  <si>
    <t>মো: আবুল কালাময</t>
  </si>
  <si>
    <t>মো: সিদ্দিক আহেমেদ</t>
  </si>
  <si>
    <t>মো: আছির উদ্দিন</t>
  </si>
  <si>
    <t>মোসা: হাসনা</t>
  </si>
  <si>
    <t>মো: জহির রায়হান</t>
  </si>
  <si>
    <t>মো: আইদুল হক</t>
  </si>
  <si>
    <t>মো: আমজাদ আলী মন্ডল</t>
  </si>
  <si>
    <t>মো: কেয়ামত মন্ডল</t>
  </si>
  <si>
    <t>মো: রাফাতুল্লা মন্ডল</t>
  </si>
  <si>
    <t>শ্রী : অম্বিকা চন্দ্র প্রা :</t>
  </si>
  <si>
    <t>শ্রী : রতিকান্ত পা:</t>
  </si>
  <si>
    <t>শ্রী : শ্যামা পদ মন্ডল</t>
  </si>
  <si>
    <t>শ্রী : হরিপদ মন্ডল</t>
  </si>
  <si>
    <t>শ্রী : সিতেন দাস</t>
  </si>
  <si>
    <t>শ্রী : ধীরেন দাস</t>
  </si>
  <si>
    <t>শ্রী : কৃষ্ণ</t>
  </si>
  <si>
    <t>শ্রী : রাজ নন্দন</t>
  </si>
  <si>
    <t>শ্রী : অজেন সরকার</t>
  </si>
  <si>
    <t>শ্রী : রতিকান্ত সরকার</t>
  </si>
  <si>
    <t>শ্রীমতি : বাসন্তি প্রা:</t>
  </si>
  <si>
    <t>শ্রী : দ্বিপেন প্রা:</t>
  </si>
  <si>
    <t>শ্রী : নগেন প্রা:</t>
  </si>
  <si>
    <t>শ্রী : নারায়ন চন্দ্র মন্ডল</t>
  </si>
  <si>
    <t>শ্রী : নিশিকান্ত মন্ডল</t>
  </si>
  <si>
    <t>শ্রী : হরিচরন মন্ডল</t>
  </si>
  <si>
    <t>মৃত : কালীচরন মন্ডল</t>
  </si>
  <si>
    <t>শ্রী: বীরেন্দনাথ সরকার</t>
  </si>
  <si>
    <t>মৃত : তরনী মোহন সরকার</t>
  </si>
  <si>
    <t>শ্রী: গৌরাঙ্গ সরকার</t>
  </si>
  <si>
    <t>শ্রী: সষ্টি মন্ডল</t>
  </si>
  <si>
    <t>শ্রী: নারায়ন চন্দ্র প্রা:</t>
  </si>
  <si>
    <t>মৃত : গোয়ালু প্রা:</t>
  </si>
  <si>
    <t>শ্রী: কানাইলাল মন্ডল</t>
  </si>
  <si>
    <t>শ্রী: রাজেশ্বর মন্ডল</t>
  </si>
  <si>
    <t>মো: সাহাবুলরদ্দিন</t>
  </si>
  <si>
    <t>মো: শুকুরুদ্দিন</t>
  </si>
  <si>
    <t>শ্রী: যোগেশ চন্দ্র প্রা:</t>
  </si>
  <si>
    <t>মৃত: জতিন্দনাথ প্রা:</t>
  </si>
  <si>
    <t>শ্রী: বলাই চন্দ্র প্রা:</t>
  </si>
  <si>
    <t>শ্রী: বাজেশ্বর মন্ডল</t>
  </si>
  <si>
    <t>শ্রী: অমরেন্দ্রনাথ অধিকারী</t>
  </si>
  <si>
    <t>মৃত: সমরেন্দনাথ</t>
  </si>
  <si>
    <t>শ্রী: অনিল সাহা</t>
  </si>
  <si>
    <t>শ্রী: নগেন্দ্রনাথ সাহা</t>
  </si>
  <si>
    <t>শ্রী: নিরেন্দ্রনাথ মন্ডল</t>
  </si>
  <si>
    <t>মৃত: বরদা চরন পা:</t>
  </si>
  <si>
    <t>মৃত: মৃত্যুঞ্জয় প্রা:</t>
  </si>
  <si>
    <t>মৃত: রাজকৃষ্ণ প্রা:</t>
  </si>
  <si>
    <t>শ্রী: গুরুচরন মন্ডল</t>
  </si>
  <si>
    <t>শ্রী: কালীচরন মন্ডল</t>
  </si>
  <si>
    <t>শ্রী: হরেন সরকার</t>
  </si>
  <si>
    <t>মৃত: মহীনী মোহন</t>
  </si>
  <si>
    <t>শ্রী: মন্টু সাহা</t>
  </si>
  <si>
    <t>মৃত: নগেন্দ্রনাথ সাহা</t>
  </si>
  <si>
    <t>শ্রী: রজন সাহা</t>
  </si>
  <si>
    <t>শ্রী: অনীল সাহা</t>
  </si>
  <si>
    <t>শ্রী: বিষ্ণু প্রা:</t>
  </si>
  <si>
    <t>শ্রী: নরেন্দ্রনাথ অধিকারি</t>
  </si>
  <si>
    <t>মৃত: নলীন চন্দ্র</t>
  </si>
  <si>
    <t>শ্রী: বাসন্তি সরকার</t>
  </si>
  <si>
    <t>শ্রী: গোপেন সরকার</t>
  </si>
  <si>
    <t>শ্রী: বিষ্ণুপদ মন্ডল</t>
  </si>
  <si>
    <t>শ্রী: কৃষ্ণ হরি মন্ডল</t>
  </si>
  <si>
    <t>শ্রী: অনুকুল চন্দ্র মন্ডল</t>
  </si>
  <si>
    <t>মৃত: শিরিষ মন্ডল</t>
  </si>
  <si>
    <t>শ্রী: নৃপেন্দ্রনাথ সরকার</t>
  </si>
  <si>
    <t>মৃত: শনীন্দনাথ সরকার</t>
  </si>
  <si>
    <t>শ্রী: উত্তম সরকার</t>
  </si>
  <si>
    <t>শ্রী: উজ্জল সরকার</t>
  </si>
  <si>
    <t>শ্রী: নরেন সরকার</t>
  </si>
  <si>
    <t>শ্রী : কৃষ্ণ হরি সরকার</t>
  </si>
  <si>
    <t>শ্রী : নৃপেন্দ্রনাথ সরকার</t>
  </si>
  <si>
    <t>শ্রী : প্রনয় সরকার</t>
  </si>
  <si>
    <t>শ্রী : নেপেন্দ্রনাথ সরকার</t>
  </si>
  <si>
    <t>শ্রী : গোপেন সরকার</t>
  </si>
  <si>
    <t>মৃত: শচিন সরকার</t>
  </si>
  <si>
    <t>শ্রী : হরি গোপাল প্র:</t>
  </si>
  <si>
    <t>শ্রী : দিলীপ কুমার প্রা:</t>
  </si>
  <si>
    <t>শ্রী : দ্বিজেন্দ্রনাথ প্রা:</t>
  </si>
  <si>
    <t>মৃত: মতিলাল প্রা:</t>
  </si>
  <si>
    <t>শ্রী : রঞ্জন প্রা:</t>
  </si>
  <si>
    <t>শ্রী : বিমুত প্রা:</t>
  </si>
  <si>
    <t>শ্রী : রনজিৎ প্রা:</t>
  </si>
  <si>
    <t>শ্রী : অম্যল প্রা:</t>
  </si>
  <si>
    <t>মো: হাইওম</t>
  </si>
  <si>
    <t>মৃত: মেহেরুনা</t>
  </si>
  <si>
    <t>শ্রী : ব্রজেন সরকার</t>
  </si>
  <si>
    <t>শ্রীমতি: ভারতী মন্ডল</t>
  </si>
  <si>
    <t>শ্রী : নরেন মন্ডল</t>
  </si>
  <si>
    <t>শ্রীমতি : রেখা রানী</t>
  </si>
  <si>
    <t>মৃত: গজেন সরকার</t>
  </si>
  <si>
    <t>শ্রী : সুদেব চন্দ্র প্রা:</t>
  </si>
  <si>
    <t>মৃত: মন্ত লাল প্রা:</t>
  </si>
  <si>
    <t>শ্রী : যোগেশ চন্দ্র মন্ডল</t>
  </si>
  <si>
    <t>মৃত: রামচরন মন্ডল</t>
  </si>
  <si>
    <t>শ্রী : আনাথ অধিকারী</t>
  </si>
  <si>
    <t>শ্রী : রামচরন অধিকারী</t>
  </si>
  <si>
    <t>শ্রী : উপেনন্দ্রনাথ ভৌমিক</t>
  </si>
  <si>
    <t>মৃত: জগন্নাথ ভৌমিক</t>
  </si>
  <si>
    <t>শ্রী : নিমাই চনবদ্র</t>
  </si>
  <si>
    <t>মৃত: নিতাই সাহা</t>
  </si>
  <si>
    <t>শ্রী : রথিন সাহা</t>
  </si>
  <si>
    <t>শ্রী : অনিল সাহা</t>
  </si>
  <si>
    <t>শ্রী : শ্রীতেন্দ্রনাথ প্রা:</t>
  </si>
  <si>
    <t>শ্রী : হরি গোপাল প্রা:</t>
  </si>
  <si>
    <t>মৃত: গিরিস মন্ডল</t>
  </si>
  <si>
    <t>শ্রী : গোপেরশ্বর চন্দ্র</t>
  </si>
  <si>
    <t>শ্রী : অখিলেশ্বর প্রা:</t>
  </si>
  <si>
    <t>শ্রী : নরেন চন্দ্র মন্ডল</t>
  </si>
  <si>
    <t>মৃত: নিশিকান্ত মন্ডল</t>
  </si>
  <si>
    <t>শ্রী : দুলাল প্রা:</t>
  </si>
  <si>
    <t>মৃত: নন্দন প্রা:</t>
  </si>
  <si>
    <t>শ্রী : তপন চন্দ্র মন্ডল</t>
  </si>
  <si>
    <t>শ্রী : শশধর চন্দ্র</t>
  </si>
  <si>
    <t>শ্রী : বিশ্বনাথ ভৌমিক</t>
  </si>
  <si>
    <t>মৃতি : জগন্নাথ ভৌমিক</t>
  </si>
  <si>
    <t>শ্রীমতি: শুধা বালা</t>
  </si>
  <si>
    <t>মৃত: খগেন প্রা:</t>
  </si>
  <si>
    <t>মৃত: ফজল হক</t>
  </si>
  <si>
    <t>মো : জাকির হোসেন</t>
  </si>
  <si>
    <t>মৃত: রাম চন্দ্র মন্ডল</t>
  </si>
  <si>
    <t>শ্রী : দিপক সাহা</t>
  </si>
  <si>
    <t>শ্রী : কাঞ্চন সাহা</t>
  </si>
  <si>
    <t>শ্রী : উৎপল ভৌমিক</t>
  </si>
  <si>
    <t>শ্রী : উগেন্দ্রনাথ  ভৌমিক</t>
  </si>
  <si>
    <t>শ্রী : গৌউর সাহা</t>
  </si>
  <si>
    <t>শ্রী : ধীরেন্দ্রনাথ সাহা</t>
  </si>
  <si>
    <t>শ্রী : হিরেন্দ্রনাথ সরকার</t>
  </si>
  <si>
    <t>মৃত: তরনী মোহন</t>
  </si>
  <si>
    <t>শ্রী : অজিদ কুমার</t>
  </si>
  <si>
    <t>শ্রী : অনিল চন্দ্র সাহা</t>
  </si>
  <si>
    <t>শ্রী : নকুল সাহা</t>
  </si>
  <si>
    <t>শ্রী : কৃঞ্চ চরন সাহা</t>
  </si>
  <si>
    <t>শ্রী : ব্রজশ্বের প্রা:</t>
  </si>
  <si>
    <t>শ্রী : বিপুল সাহা</t>
  </si>
  <si>
    <t>মৃত: কৃঞ্চ চরন সাহা</t>
  </si>
  <si>
    <t>শ্রী : গয়ানাথ সরকার</t>
  </si>
  <si>
    <t>শ্রী : হীরেন্দ্রনাথ সরকার</t>
  </si>
  <si>
    <t>শ্রী : গবিন্দ কুমার সরকার</t>
  </si>
  <si>
    <t>মৃত: মতি লাল</t>
  </si>
  <si>
    <t>শ্রী : শিবনাথ প্রা:</t>
  </si>
  <si>
    <t>শ্রী : বিনয় চন্দ্র মন্ডল</t>
  </si>
  <si>
    <t>শ্রী : হরি মন্ডল</t>
  </si>
  <si>
    <t>শ্রী : কাত্তিক চন্দ মন্ডল</t>
  </si>
  <si>
    <t>শ্রী : শিরিষ মন্ডল</t>
  </si>
  <si>
    <t>শ্রী : সঞ্জয় প্রা:</t>
  </si>
  <si>
    <t>শ্রী : খগেন প্রা:</t>
  </si>
  <si>
    <t>শ্রী : হরেকৃ</t>
  </si>
  <si>
    <t>শ্রী : সুকুমার প্রা:</t>
  </si>
  <si>
    <t>শ্রী : ধীরেন্দ্রনাথ প্রা:</t>
  </si>
  <si>
    <t>শ্রী : বলাই প্রা:</t>
  </si>
  <si>
    <t>শ্রী : হীরেনবদ্রনাথ প্রা:</t>
  </si>
  <si>
    <t>শ্রী : শংকর প্রা:</t>
  </si>
  <si>
    <t>শ্রী : দ্বিজেন্দ্রনাথ ভৌমিক</t>
  </si>
  <si>
    <t>মৃত : জগন্নাথ ভৌমিক</t>
  </si>
  <si>
    <t>শ্রীমতি : লতা বালঅ</t>
  </si>
  <si>
    <t>মৃত : বিবেন</t>
  </si>
  <si>
    <t>শ্রী : সুজন চন্দ্র সরকার</t>
  </si>
  <si>
    <t>শ্রী : রতিকা›ত সরকার</t>
  </si>
  <si>
    <t>শ্রী : রনজিত সরকার</t>
  </si>
  <si>
    <t>মৃত : গনেশ সরকার</t>
  </si>
  <si>
    <t>শ্রী : অমূল্য সরকার</t>
  </si>
  <si>
    <t>মৃত : গনেশ</t>
  </si>
  <si>
    <t>মো: বেসারত আলী</t>
  </si>
  <si>
    <t>মৃত : কালু প্রা:</t>
  </si>
  <si>
    <t>শ্রী : নয়ন চন্দ্র প্রা:</t>
  </si>
  <si>
    <t>মৃত : জতিন্দ্রনাথ প্রা:</t>
  </si>
  <si>
    <t>শ্রী : গোপিপদ মন্ডল</t>
  </si>
  <si>
    <t>শ্রী : রামপদ মন্ডল</t>
  </si>
  <si>
    <t>শ্রী : সচি পদ মন্ডল</t>
  </si>
  <si>
    <t>শ্রী : নাম পদ মন্ডল</t>
  </si>
  <si>
    <t>শ্রী : অভয় পদ মন্ডল</t>
  </si>
  <si>
    <t>শ্রী : রাম পদ মন্ডল</t>
  </si>
  <si>
    <t>মৃত : আমেদ আলী</t>
  </si>
  <si>
    <t>মো: সফিকুল আলী</t>
  </si>
  <si>
    <t>মো: সামসুদ্দিন সাহা</t>
  </si>
  <si>
    <t>মো: মানিক সাহা</t>
  </si>
  <si>
    <t>শ্রী : ধীরেন্দ্রনাথ প্রা :</t>
  </si>
  <si>
    <t>শ্রী : জতিন্দ্রনাথ প্রা :</t>
  </si>
  <si>
    <t>শ্রী : নারয়ন মন্ডল</t>
  </si>
  <si>
    <t>শ্রী : কানাই লাল মন্ডল</t>
  </si>
  <si>
    <t>শ্রী : করুনা মন্ডল</t>
  </si>
  <si>
    <t>শ্রী : অধীরচন্দ্র সাহা</t>
  </si>
  <si>
    <t>শ্রী : গনেশ চন্দ সাহা</t>
  </si>
  <si>
    <t>শ্রী : সীতেন্দনাথ সরকার</t>
  </si>
  <si>
    <t>মৃত : গোষ্ঠ বিহাড়ী মন্ডল</t>
  </si>
  <si>
    <t>শ্রী : নিমাই চন্দ্র মন্ডল</t>
  </si>
  <si>
    <t>শ্রী : হৃদয় চন্দ্র মন্ডল</t>
  </si>
  <si>
    <t>শ্রী : হরেন চন্দ্র মন্ডল</t>
  </si>
  <si>
    <t>মৃত : নিশী কন্তি মন্ডল</t>
  </si>
  <si>
    <t>শ্রী : রতি কান্ত মন্ডল</t>
  </si>
  <si>
    <t>শ্রী : নরেন্দ্রন্রাথ কবিরাজ</t>
  </si>
  <si>
    <t>মৃত : রামকন্ট কবিরাজ</t>
  </si>
  <si>
    <t>শ্রী : স্বপন কুমার কবিরাজ</t>
  </si>
  <si>
    <t>শ্রী : ধীরেন্দ্রনাথ কবিরাজ</t>
  </si>
  <si>
    <t>শ্রী : রামকন্ট কবিরাজ</t>
  </si>
  <si>
    <t>শ্রী : নয়ন কুমার কবিরাজ</t>
  </si>
  <si>
    <t>শ্রী : নরেন্দ্রনাথ প্রা :</t>
  </si>
  <si>
    <t>শ্রী : কার্তিক চন্দ্র দাস</t>
  </si>
  <si>
    <t>মৃত : ধীরেন্দ্রনাথ দাস</t>
  </si>
  <si>
    <t>শ্রী : ভরত সরকার</t>
  </si>
  <si>
    <t>শ্রী : নিত্রান্দন সাহা</t>
  </si>
  <si>
    <t>শ্রী : সূর্য কান্ত সরকার</t>
  </si>
  <si>
    <t>শ্রী : রাজ নন্দন সরকার</t>
  </si>
  <si>
    <t>শ্রী : নিতাই সাহা</t>
  </si>
  <si>
    <t>শ্রী : বীরেন সাহা</t>
  </si>
  <si>
    <t>শ্রী : সুজন প্রা:</t>
  </si>
  <si>
    <t>শ্রী : অমূল্য প্রা:</t>
  </si>
  <si>
    <t>শ্রী : শিতেন সাহা</t>
  </si>
  <si>
    <t>মৃত : কৃষ্ণ চরন সাহা</t>
  </si>
  <si>
    <t>শ্রী : গোপেশ্বর প্রা:</t>
  </si>
  <si>
    <t>শ্রী : অনুকুল প্রা:</t>
  </si>
  <si>
    <t>মো: আসান আলী শেখ</t>
  </si>
  <si>
    <t>মৃত : ওমর আলী</t>
  </si>
  <si>
    <t>শ্রী : দুলাল মন্ডল</t>
  </si>
  <si>
    <t>শ্রী : কার্তিক মন্ডল</t>
  </si>
  <si>
    <t>শ্রী : পদ মন্ডল</t>
  </si>
  <si>
    <t>মৃত : নিতাই মন্ডল</t>
  </si>
  <si>
    <t>শ্রী : শৈলেন মন্ডল</t>
  </si>
  <si>
    <t>মৃত : সুরেন্দ্রনাথ</t>
  </si>
  <si>
    <t>শ্রী : নিরেন্দ্রনাথ দাস</t>
  </si>
  <si>
    <t>মৃত : ধীরেন্দ্রনাথ</t>
  </si>
  <si>
    <t>শ্রী : বিশ্বনাথ মন্ডল</t>
  </si>
  <si>
    <t>মৃত : ক্ষিতিশ মন্ডল</t>
  </si>
  <si>
    <t>শ্রী : অজিত মন্ডল</t>
  </si>
  <si>
    <t>শ্রী : রাম চন্দ্র মন্ডল</t>
  </si>
  <si>
    <t>শ্রী : নারায়ন সরকার</t>
  </si>
  <si>
    <t>শ্রী : রাম নন্দন</t>
  </si>
  <si>
    <t>শ্রী : স্যামল মন্ডল</t>
  </si>
  <si>
    <t>মো: সোলাইমান আলী</t>
  </si>
  <si>
    <t>মৃত : ফজল হক</t>
  </si>
  <si>
    <t>শ্রী : রুহিনী কান্ত</t>
  </si>
  <si>
    <t>শ্রী : সহিনী মোহর</t>
  </si>
  <si>
    <t>মৃত : নিত্যানন্দ</t>
  </si>
  <si>
    <t>শ্রীমতি : বনলতা</t>
  </si>
  <si>
    <t>শ্রীমতি : ¯েœহ লতা সরকার</t>
  </si>
  <si>
    <t>শ্রী : রাজেন সরকার</t>
  </si>
  <si>
    <t>শ্রী : কাঞ্চন কুমার</t>
  </si>
  <si>
    <t>শ্রী : জগন্ন্াথ ভৌমিক</t>
  </si>
  <si>
    <t>শ্রী : সন্তোস প্রা:</t>
  </si>
  <si>
    <t>শ্রীমতি : বাসন্তী সাহা</t>
  </si>
  <si>
    <t>শ্রী : শনীল সাহা</t>
  </si>
  <si>
    <t>শ্রী : রঘু পদ সাহা</t>
  </si>
  <si>
    <t>মৃত : রাম চন্দ্র সাহা</t>
  </si>
  <si>
    <t>শ্রী : অম্বিকা মন্ডল</t>
  </si>
  <si>
    <t>শ্রী : অমল চন্দ্র মন্ডল</t>
  </si>
  <si>
    <t>মৃত : গিরীশ চন্দ্র মন্ডল</t>
  </si>
  <si>
    <t>শ্রী : সুফল মন্ডল</t>
  </si>
  <si>
    <t>শ্রী : সুবাস মন্ডল</t>
  </si>
  <si>
    <t>শ্রী : কৃষ্ণ অধীকারী</t>
  </si>
  <si>
    <t>মৃত : রাম চরন অধীকারী</t>
  </si>
  <si>
    <t>শ্রী : সুণীল সাহা</t>
  </si>
  <si>
    <t>শ্রী : নগেন্দ্রনাথ সাহা</t>
  </si>
  <si>
    <t>শ্রী : জগদীস প্রা:</t>
  </si>
  <si>
    <t>মৃত : রাজ কৃষ্ণ প্রা:</t>
  </si>
  <si>
    <t>শ্রী : আনন্দ অধীকারী</t>
  </si>
  <si>
    <t>শ্রী : জো¯œা অধীকারী</t>
  </si>
  <si>
    <t>মো: সিরাজ মোল্লা</t>
  </si>
  <si>
    <t>মো: লহর মোল্লা</t>
  </si>
  <si>
    <t>মোসা: ফাতেমা খাতুন</t>
  </si>
  <si>
    <t>মো: উচ্চমান আলী</t>
  </si>
  <si>
    <t>মো: রয়েজ উদ্দিন মন্ডল</t>
  </si>
  <si>
    <t>মো: আব্বাস মন্ডল</t>
  </si>
  <si>
    <t>শ্রী : দিপক চন্দ্র দাস</t>
  </si>
  <si>
    <t>শ্রী : মনিন্দ্রনাথ দাস</t>
  </si>
  <si>
    <t>মোসা: রেবেকা বিবি</t>
  </si>
  <si>
    <t>মো: ফয়েজ মন্ডল</t>
  </si>
  <si>
    <t>মো: জাহাঙ্গীর মন্ডল</t>
  </si>
  <si>
    <t>শ্রী : সুজয় সরকার</t>
  </si>
  <si>
    <t>শ্রী : সুসিল দাস</t>
  </si>
  <si>
    <t>শ্রী : গোপল দাস</t>
  </si>
  <si>
    <t>মো: আ: রফিক</t>
  </si>
  <si>
    <t>মো: গিয়াস উদ্দিন মুনসী</t>
  </si>
  <si>
    <t>শ্রী : সন্তোস কুমার</t>
  </si>
  <si>
    <t>মৃত : মতিলাল মন্ডল</t>
  </si>
  <si>
    <t>মো: সেকেন্দার</t>
  </si>
  <si>
    <t>মো: রেন্টু শাহ</t>
  </si>
  <si>
    <t>মো: আলতুাবুর</t>
  </si>
  <si>
    <t>মো: রবিউল মন্ডল</t>
  </si>
  <si>
    <t>মো: আকু বাক্কার</t>
  </si>
  <si>
    <t>মো: মামুনুর রসিদ</t>
  </si>
  <si>
    <t>মৃত : মনতাজ মন্ডল</t>
  </si>
  <si>
    <t>মো: সিদ্দিক আহমেদ</t>
  </si>
  <si>
    <t>মো: একরাম হক</t>
  </si>
  <si>
    <t>মৃত: ইয়াসিন আলী</t>
  </si>
  <si>
    <t>মো: বাবুল মন্ডল</t>
  </si>
  <si>
    <t>মো: ফুলবাবু</t>
  </si>
  <si>
    <t>শ্রী: প্রবীন দাস</t>
  </si>
  <si>
    <t>শ্রী: সুনিল চন্দ্র</t>
  </si>
  <si>
    <t>মো: মোস্তাফা মন্ডল</t>
  </si>
  <si>
    <t>মো: রিয়াজ মন্ডল</t>
  </si>
  <si>
    <t>মো: দেলয়ার হোসেন</t>
  </si>
  <si>
    <t>মো: মাসুদ করিম</t>
  </si>
  <si>
    <t>শ্রী : রবিন সরকার</t>
  </si>
  <si>
    <t>মত : গনেশ</t>
  </si>
  <si>
    <t>মৃত : ইয়াসিন আলী</t>
  </si>
  <si>
    <t>শ্রী: সুনিল কুমার</t>
  </si>
  <si>
    <t>মোসা: ছবিয়া খাতুন</t>
  </si>
  <si>
    <t>মো: ওহায়েদ আলী</t>
  </si>
  <si>
    <t>মো: মহির সাহ</t>
  </si>
  <si>
    <t>মো: তমিরুদ্দিন</t>
  </si>
  <si>
    <t>মোসা: সফেদা বেগম</t>
  </si>
  <si>
    <t>মো: তুহিন উদ্দিন</t>
  </si>
  <si>
    <t>মো: মাহির উদ্দিন</t>
  </si>
  <si>
    <t>শ্রী: দিলিপ কুমার মন্ডল</t>
  </si>
  <si>
    <t>শ্রী: শশধর মন্ডল</t>
  </si>
  <si>
    <t>শ্রী : হরিুন মন্ডল</t>
  </si>
  <si>
    <t>মো: লালু মন্ডল</t>
  </si>
  <si>
    <t>মো: আলতাফ হোসেন</t>
  </si>
  <si>
    <t>মো: আব্দুল রফিক</t>
  </si>
  <si>
    <t>মো: আফসার মন্ডল</t>
  </si>
  <si>
    <t>শ্রী: লালচান মন্ডল</t>
  </si>
  <si>
    <t>মো: আমির মন্ডল</t>
  </si>
  <si>
    <t>শ্রী: উত্তম কুমার দাস</t>
  </si>
  <si>
    <t>শ্রী: সবোধ চন্দ্র দাস</t>
  </si>
  <si>
    <t>মো: হামেদ মন্ডল</t>
  </si>
  <si>
    <t>শ্রী: হানিফ মন্ডল</t>
  </si>
  <si>
    <t>মো: তাজিমুদ্দিন মন্ডল</t>
  </si>
  <si>
    <t>মো: ইব্রাহীম শেখ</t>
  </si>
  <si>
    <t>মো: মনিরুদ্দিন মন্ডল</t>
  </si>
  <si>
    <t>মো: আকিরুদ্দিন মন্ডল</t>
  </si>
  <si>
    <t>মো: মইনুল ইসলাম</t>
  </si>
  <si>
    <t>মো: কামরুল মন্ডল</t>
  </si>
  <si>
    <t>মো: সলিম উদ্দিন</t>
  </si>
  <si>
    <t>মো: খিদির মন্ডল</t>
  </si>
  <si>
    <t>মো: এরাজ মন্ডল</t>
  </si>
  <si>
    <t>মো: মেকুর আলী</t>
  </si>
  <si>
    <t>মো: আিিমন মন্ডল</t>
  </si>
  <si>
    <t>মো: এমাজ মন্ডল</t>
  </si>
  <si>
    <t>মৃত: রহিম মন্ডল</t>
  </si>
  <si>
    <t>মো: মিরাজ</t>
  </si>
  <si>
    <t>মো: সুকেস মন্ডল</t>
  </si>
  <si>
    <t>মৃত: নারায়ন</t>
  </si>
  <si>
    <t>মো: পারভেজ মন্ডল</t>
  </si>
  <si>
    <t>মোসা: আলেয়া বিবি</t>
  </si>
  <si>
    <t>মো: এনতাজ মন্ডল</t>
  </si>
  <si>
    <t>মৃত: বজের আলী  মন্ডল</t>
  </si>
  <si>
    <t>মৃত: তাহের মন্ডল</t>
  </si>
  <si>
    <t>মো: সোহেল রানা মন্ডল</t>
  </si>
  <si>
    <t>মো: এন্তাজ মন্ডল</t>
  </si>
  <si>
    <t>মৃত: রাজেন্দ্রনাথ মন্ডল</t>
  </si>
  <si>
    <t>মৃত: লাইর মন্ডল</t>
  </si>
  <si>
    <t>শ্রী: রাম চরন</t>
  </si>
  <si>
    <t>শ্রী: পাডু শিং</t>
  </si>
  <si>
    <t>মো: তাহার সরকার</t>
  </si>
  <si>
    <t>শ্রী: সুবল দাস</t>
  </si>
  <si>
    <t>শ্রী: সদল দাস</t>
  </si>
  <si>
    <t>মো:  পিয়ার  মন্ডল</t>
  </si>
  <si>
    <t>মো:  লেকু মন্ডল</t>
  </si>
  <si>
    <t>মো: জীবন মন্ডল</t>
  </si>
  <si>
    <t>শ্রী : খগেন মন্ডল</t>
  </si>
  <si>
    <t>মৃত : নারায়ন</t>
  </si>
  <si>
    <t>শ্রী : অশোক মন্ডল</t>
  </si>
  <si>
    <t>শ্রী : শশধর মন্ডল</t>
  </si>
  <si>
    <t>শ্রী : সঞ্জিৎ কুমার মন্ডল</t>
  </si>
  <si>
    <t>শ্রী : আশোস মন্ডল</t>
  </si>
  <si>
    <t>শ্রী : নিতাই সরকার</t>
  </si>
  <si>
    <t>মৃত : লিয়ালা</t>
  </si>
  <si>
    <t>শ্রী : কৃষ্ণ মন্ডল</t>
  </si>
  <si>
    <t>শ্রী : বৈদ্যনাথ মন্ডল</t>
  </si>
  <si>
    <t>মো: শামিম আলম</t>
  </si>
  <si>
    <t>মো: মোহর মন্ডল</t>
  </si>
  <si>
    <t>মো: আ: আজিজ মন্ডল</t>
  </si>
  <si>
    <t>মো: সমসের আলী মন্ডল</t>
  </si>
  <si>
    <t>শ্রী : মুকুল মন্ডল</t>
  </si>
  <si>
    <t>মো: মুনা মন্ডল</t>
  </si>
  <si>
    <t>মো: গনি মন্ডল</t>
  </si>
  <si>
    <t>শ্রী: সঙ্কর চন্দ্র মন্ডল</t>
  </si>
  <si>
    <t>শ্রী: শশধর চন্দ্র মন্ডল</t>
  </si>
  <si>
    <t>শ্রী : ধীরেন্দ্রনাথ প্রামানিক</t>
  </si>
  <si>
    <t>শ্রী: গোপেশ্বর প্রা:</t>
  </si>
  <si>
    <t>মো: সাইফিুল মন্ডল</t>
  </si>
  <si>
    <t>মো: দিয়ানতুল্লা</t>
  </si>
  <si>
    <t>মো: কারামত মন্ডল</t>
  </si>
  <si>
    <t>মো: জাফর মন্ডল</t>
  </si>
  <si>
    <t>শ্রী: বিরেন্দ্রনাথ</t>
  </si>
  <si>
    <t>মো: কেয়ামত আলী</t>
  </si>
  <si>
    <t>মো: রইস মন্ডল</t>
  </si>
  <si>
    <t>শ্রী : তপন কুমার মন্ডল</t>
  </si>
  <si>
    <t>শ্রী:  বৈাদ্যনাথ মন্ডল</t>
  </si>
  <si>
    <t>মো: কায়েশ মন্ডল</t>
  </si>
  <si>
    <t>মো: লেকু মন্ডল</t>
  </si>
  <si>
    <t>মো: গোলাপ মন্ডল</t>
  </si>
  <si>
    <t>মো: সামসুদ্দীন মন্ডল</t>
  </si>
  <si>
    <t>মো: আমেজ উদ্দিন মন্ডল</t>
  </si>
  <si>
    <t>শ্রী : জোতিষ মন্ডল</t>
  </si>
  <si>
    <t>শ্রী: বিরেন মন্ডল</t>
  </si>
  <si>
    <t>শ্রী: রতন মন্ডল</t>
  </si>
  <si>
    <t>শ্রী: শশধর  মন্ডল</t>
  </si>
  <si>
    <t>মো: মুঞ্জুর হোসেন</t>
  </si>
  <si>
    <t>মো: সাদের হোসেন</t>
  </si>
  <si>
    <t>মো: রমানজান আলী</t>
  </si>
  <si>
    <t>মো: কেরু মন্ডল</t>
  </si>
  <si>
    <t>মো: কছিমুদ্দীন মন্ডল</t>
  </si>
  <si>
    <t>মো: জসিম আলী</t>
  </si>
  <si>
    <t>মো: নাসির মন্ডল</t>
  </si>
  <si>
    <t>মো: তসির মন্ডল</t>
  </si>
  <si>
    <t>মো: হোসেন আলী মন্ডল</t>
  </si>
  <si>
    <t>মো: নজির মন্ডল</t>
  </si>
  <si>
    <t>মো:  ছাদের মন্ডল</t>
  </si>
  <si>
    <t>মো: লাহারু</t>
  </si>
  <si>
    <t>মোসা: কহিনুর বিবি</t>
  </si>
  <si>
    <t>মো: আব্দুল করিম মন্ডল</t>
  </si>
  <si>
    <t>শ্রী : সংকর মন্ডল</t>
  </si>
  <si>
    <t>শ্রী : বিনোদ বিহারী মন্ডল</t>
  </si>
  <si>
    <t>শ্রী : সুবিমল কুমার</t>
  </si>
  <si>
    <t>শ্রী : প্রিয় গোপাল সরকার</t>
  </si>
  <si>
    <t>শ্রী : গোপাল সরকার</t>
  </si>
  <si>
    <t>শ্রী : বালাই চন্দ্র</t>
  </si>
  <si>
    <t>মো: তাসির উদ্দিন</t>
  </si>
  <si>
    <t>শ্রী : সুব্রত প্রা:</t>
  </si>
  <si>
    <t>শ্রী : সুনিল প্রা:</t>
  </si>
  <si>
    <t>মো: বিসু মন্ডল</t>
  </si>
  <si>
    <t>মো: লবা মন্ডল</t>
  </si>
  <si>
    <t>মো: মমিনুল ইসলাম</t>
  </si>
  <si>
    <t>মো: আতিকুল আলম</t>
  </si>
  <si>
    <t>মো: তমিজ উদ্দিন</t>
  </si>
  <si>
    <t>শ্রী : আসু মন্ডল</t>
  </si>
  <si>
    <t>শ্রী : বালাই</t>
  </si>
  <si>
    <t>মো: ইদ্রিশ মন্ডল</t>
  </si>
  <si>
    <t>মো: কালু</t>
  </si>
  <si>
    <t>মো: মহির মন্ডল</t>
  </si>
  <si>
    <t>মো: মাজহারুল ইসলাম</t>
  </si>
  <si>
    <t>মো: রমজান সরদার</t>
  </si>
  <si>
    <t>মো: আবদুস সালাম</t>
  </si>
  <si>
    <t>মো: মুনতাজ আলী মন্ডল</t>
  </si>
  <si>
    <t>মো: ময়েজ উদ্দীন মন্ডল</t>
  </si>
  <si>
    <t>মো: ফয়েজ উদ্দীন মন্ডল</t>
  </si>
  <si>
    <t>মোসা: আফরোজা বেগম</t>
  </si>
  <si>
    <t>মোসা: লিপিয়ারা বেগম</t>
  </si>
  <si>
    <t>মো: আব্দুল রাজ্জাক দেওয়ান</t>
  </si>
  <si>
    <t>মো: আবুল কাশেম দেওয়ান</t>
  </si>
  <si>
    <t>মো: ইমরান আলী</t>
  </si>
  <si>
    <t>মো: ময়েজ সোনার</t>
  </si>
  <si>
    <t>মোসা: সাবিনা খাতুন</t>
  </si>
  <si>
    <t>মো: বদের আলী সোনার</t>
  </si>
  <si>
    <t>মো: শরিফুদ্দিন মিঞা</t>
  </si>
  <si>
    <t>মো: আতাউর রহমান মিঞা</t>
  </si>
  <si>
    <t>মো: আজিজুর রহমান মিঞা</t>
  </si>
  <si>
    <t>মো: নজরুল ইসলাম সোনার</t>
  </si>
  <si>
    <t>মো: মিজানুর মন্ডল</t>
  </si>
  <si>
    <t>মো: ফয়েজ  উদ্দিন</t>
  </si>
  <si>
    <t>মো: আয়েজ উদ্দিন</t>
  </si>
  <si>
    <t>মো: মসিউর রহমান</t>
  </si>
  <si>
    <t xml:space="preserve">মোঃ ফয়েজ উদ্দিন       </t>
  </si>
  <si>
    <t>মৃত হেফাজ উদ্দিন</t>
  </si>
  <si>
    <t xml:space="preserve">মোঃ মিলন উদ্দিন        </t>
  </si>
  <si>
    <t xml:space="preserve">মোঃ ফয়েজ উদ্দিন </t>
  </si>
  <si>
    <t xml:space="preserve">মোঃ মনিরুল ইসলাম     </t>
  </si>
  <si>
    <t>মোঃ ফয়েজ উদ্দিন</t>
  </si>
  <si>
    <t xml:space="preserve">মোঃ জয়নাল আবেদীন </t>
  </si>
  <si>
    <t>মোঃ রহমান আলী</t>
  </si>
  <si>
    <t xml:space="preserve">মোঃ আবুল হোসেন </t>
  </si>
  <si>
    <t>শাজাহান মন্ডল</t>
  </si>
  <si>
    <t xml:space="preserve">মোঃ রফিকুল ইসলাম   </t>
  </si>
  <si>
    <t>মোঃ আবুল হোসেন</t>
  </si>
  <si>
    <t xml:space="preserve">মোঃ শরিফুল ইসলাম     </t>
  </si>
  <si>
    <t>মৃত শফিকুল ইসলাম</t>
  </si>
  <si>
    <t xml:space="preserve">মোঃ মুরাদ হোসেন     </t>
  </si>
  <si>
    <t>মোঃ আঃ জলিল</t>
  </si>
  <si>
    <t xml:space="preserve">মোঃ আমিনুল ইসলাম   </t>
  </si>
  <si>
    <t>মোঃ তবারক হোসেন</t>
  </si>
  <si>
    <t xml:space="preserve">মোঃ রেজাউল মন্ডল    </t>
  </si>
  <si>
    <t>মোঃ কছির মন্ডল</t>
  </si>
  <si>
    <t xml:space="preserve">মোঃ এরফান হোসেন   </t>
  </si>
  <si>
    <t>মুনসি গিয়াস উদ্দিন</t>
  </si>
  <si>
    <t xml:space="preserve">মোঃ সানোয়ার হোসেন </t>
  </si>
  <si>
    <t>এরফান হোসেন</t>
  </si>
  <si>
    <t xml:space="preserve">মোঃ জাহিদ আক্তার    </t>
  </si>
  <si>
    <t>মোঃ নজরুল ইসলাম</t>
  </si>
  <si>
    <t>৪৯৫ শতাংশ</t>
  </si>
  <si>
    <t>৪৯৫শতাংশ</t>
  </si>
  <si>
    <t>মোঃ এমাজ উদ্দিন</t>
  </si>
  <si>
    <t>সুলেমান মন্ডল</t>
  </si>
  <si>
    <t>মোঃ কালাম সরদার</t>
  </si>
  <si>
    <t>মোঃ আফসার আলী</t>
  </si>
  <si>
    <t>মোঃ আলম সরদার</t>
  </si>
  <si>
    <t>মোঃ সিরাজ উদ্দিন</t>
  </si>
  <si>
    <t>মোঃ শহর সরদার</t>
  </si>
  <si>
    <t>মোঃ আলাতন সরদার</t>
  </si>
  <si>
    <t>মোঃ সালাম মন্ডল</t>
  </si>
  <si>
    <t>মোঃ লুকমান মন্ডল</t>
  </si>
  <si>
    <t>মোঃ সোনাতন সরদার</t>
  </si>
  <si>
    <t>মোঃ মজিদুল ইসলাম</t>
  </si>
  <si>
    <t>মোঃ তহিদুল রহমান</t>
  </si>
  <si>
    <t xml:space="preserve">মোঃ মিরাজ মন্ডল </t>
  </si>
  <si>
    <t>মোঃ সিরাজ মন্ডল</t>
  </si>
  <si>
    <t>মোঃ মালেক মন্ডল</t>
  </si>
  <si>
    <t>মোঃ জিয়ার মন্ডল</t>
  </si>
  <si>
    <t>মোঃ মুক্তার হোসেন</t>
  </si>
  <si>
    <t>মোঃ জিয়ার মন্ডল</t>
  </si>
  <si>
    <t>মোঃ মোজাফফর হোসেন</t>
  </si>
  <si>
    <t>মোঃ ওসমান মন্ডল</t>
  </si>
  <si>
    <t>মোঃ আনোয়ার হোসেন</t>
  </si>
  <si>
    <t>মোঃ আইনুল হক</t>
  </si>
  <si>
    <t xml:space="preserve">মোঃ রাজিব মন্ডল </t>
  </si>
  <si>
    <t>মোঃ আলতাব আলী</t>
  </si>
  <si>
    <t>মোঃ ফরিদ সরদার</t>
  </si>
  <si>
    <t>মোঃ জসিম উদ্দিন</t>
  </si>
  <si>
    <t>মোঃ জাহাঙ্গীর সোনার</t>
  </si>
  <si>
    <t>মোঃ আসকর সোনার</t>
  </si>
  <si>
    <t>মোঃ মনসুর হোসেন</t>
  </si>
  <si>
    <t>মোঃ আফছার হোসেন</t>
  </si>
  <si>
    <t>মোঃ বেলাল উদ্দিন</t>
  </si>
  <si>
    <t>মৃতঃওহায়েদ আলী</t>
  </si>
  <si>
    <t>মোঃ মোজ্জামেল পচুন</t>
  </si>
  <si>
    <t>মোঃ সবের আলী সোনার</t>
  </si>
  <si>
    <t xml:space="preserve">মোঃ আবুবাককার </t>
  </si>
  <si>
    <t>মৃতঃ বকুরল্লা সরদার</t>
  </si>
  <si>
    <t>মোঃ দারেস আলী হায়েস</t>
  </si>
  <si>
    <t>মৃতঃ রকিবুল্লা সরদার</t>
  </si>
  <si>
    <t>মোঃ আঃ রশিদ</t>
  </si>
  <si>
    <t>মোঃ শামসুদ্দিন (ভেবল)</t>
  </si>
  <si>
    <t>মোঃ আমসেদ সরদার</t>
  </si>
  <si>
    <t>মৃতঃ কুতুব উদ্দিন সরদার</t>
  </si>
  <si>
    <t>মোঃ আঃ জব্বার</t>
  </si>
  <si>
    <t>মৃতঃ বকুবুল্লা সরদার</t>
  </si>
  <si>
    <t>মোঃ কামরুল হোসেন</t>
  </si>
  <si>
    <t>মোঃ আমজাদ সরদার</t>
  </si>
  <si>
    <t>মোঃ সাইফুল ইসলাম</t>
  </si>
  <si>
    <t>মোঃ জমসেদ আলী সরদার</t>
  </si>
  <si>
    <t>মৃতঃ কুতুব উদ্দিন</t>
  </si>
  <si>
    <t>মোঃ দুলাল সরদার</t>
  </si>
  <si>
    <t>মোঃ আজিজুল সরদার</t>
  </si>
  <si>
    <t>মৃতঃ শুকুর সরদার</t>
  </si>
  <si>
    <t>মোঃ তফিজ উদ্দিন সরদার</t>
  </si>
  <si>
    <t>মোঃ কুসব সরদার</t>
  </si>
  <si>
    <t>মোঃ আনেস উদ্দিন</t>
  </si>
  <si>
    <t>মৃত রকুবুল্লা সরদার</t>
  </si>
  <si>
    <t>মোঃ আরসেদ সরদার</t>
  </si>
  <si>
    <t>মোসাঃ রিনা বগেম</t>
  </si>
  <si>
    <t>মোঃ বেলু সরদার</t>
  </si>
  <si>
    <t>মোঃ আক্কাস আলী সরদার</t>
  </si>
  <si>
    <t>মৃতঃ রকুবুল্লা সরদার</t>
  </si>
  <si>
    <t>মোঃ আশরাফুল ইসলাম</t>
  </si>
  <si>
    <t>মোঃ আরশাদ</t>
  </si>
  <si>
    <t>মোঃ আব্দুর রাজ্জাক</t>
  </si>
  <si>
    <t>মোঃ জালাল উদ্দিন</t>
  </si>
  <si>
    <t>মোঃ মতিউর রহমান</t>
  </si>
  <si>
    <t>মৃত, মজিবুর রহমান</t>
  </si>
  <si>
    <t>মোঃ ইউনুস সরদার</t>
  </si>
  <si>
    <t>মোঃ মিজানুর  রহমান</t>
  </si>
  <si>
    <t>মোঃ  ইউনুস আলী</t>
  </si>
  <si>
    <t>মোসাঃ মহেমা বেগম</t>
  </si>
  <si>
    <t>মোঃ মানিক</t>
  </si>
  <si>
    <t>মোঃ ফজলু  সরদার</t>
  </si>
  <si>
    <t>মোঃ মানিক সরদার</t>
  </si>
  <si>
    <t>মোঃ শাহিনুল ইসলাম</t>
  </si>
  <si>
    <t>মোঃ আইনুল হক</t>
  </si>
  <si>
    <t>মোঃ গরুবুল্লাহ প্রাংক</t>
  </si>
  <si>
    <t>মোঃ তোহিদুল সরদার</t>
  </si>
  <si>
    <t>মোঃ হারান সরদার</t>
  </si>
  <si>
    <t>মোঃ সোলাইমান  মন্ডল</t>
  </si>
  <si>
    <t>মো: তজিম উদ্দিন</t>
  </si>
  <si>
    <t>শ্রী: উওম কুমার</t>
  </si>
  <si>
    <t>মো: সোহরাব মৃধা</t>
  </si>
  <si>
    <t>মো: আজিম উদ্দীন</t>
  </si>
  <si>
    <t>মো: আলাউদ্দীন</t>
  </si>
  <si>
    <t>মো: এমামুল</t>
  </si>
  <si>
    <t>১ ৯৯২৮১১৯৪৫৭০০০৪৭৮</t>
  </si>
  <si>
    <t>১ ৯৯০৮১১৯৪৫৭০০০১৬৬</t>
  </si>
  <si>
    <t>১ ৯৯০৮১১৯৪৫৭০০২৫৮৪৩</t>
  </si>
  <si>
    <t>১ ৯৮৯৮১১৯৪৫৭০০০০৫৪</t>
  </si>
  <si>
    <t>১ ৯৯৫৮১১৯৪৫৭০০০৩১৮</t>
  </si>
  <si>
    <t>১ ৯৯৫৮১১৯৪৫৭০০০০১৫</t>
  </si>
  <si>
    <t>১ ৯৯৭৮১১৯৪৫৭০০০০১৭</t>
  </si>
  <si>
    <t>শ্রীঃ নিরঞ্জন সরকার</t>
  </si>
  <si>
    <t>শ্রী রামেন্দ্রনাথ সরকার</t>
  </si>
  <si>
    <t>শ্রীঃ নিপেন সরকার</t>
  </si>
  <si>
    <t>শ্রী হরিপদ সরকার</t>
  </si>
  <si>
    <t>শ্রীঃ বিজন বুমার দাস</t>
  </si>
  <si>
    <t>শ্রী খগেন দাস</t>
  </si>
  <si>
    <t>চাঁদ মোহাম্মদ</t>
  </si>
  <si>
    <t>মোঃ শহিদ সরদার</t>
  </si>
  <si>
    <t>শ্রীঃ চন্দন প্রাং</t>
  </si>
  <si>
    <t>শ্রী উপেন্দ্রনাথ প্রাং</t>
  </si>
  <si>
    <t>শ্রীঃ বিশ্বজিত কুমার</t>
  </si>
  <si>
    <t>শ্রী চন্দন প্রাং</t>
  </si>
  <si>
    <t>শ্রীঃ মনোরঞ্জন কুমার</t>
  </si>
  <si>
    <t>শ্রী নিবারন সরকার</t>
  </si>
  <si>
    <t>শ্রীঃ রতন কুমার</t>
  </si>
  <si>
    <t>শ্রীঃ চিত্তরঞ্জণ সরকার</t>
  </si>
  <si>
    <t>শ্রীঃ উজ্জল কুমার সরকার</t>
  </si>
  <si>
    <t>শ্রীঃ নিরঞ্জন চন্দ্র সরকার</t>
  </si>
  <si>
    <t>নিবারন চন্দ্র সরকার</t>
  </si>
  <si>
    <t>হরিপদ সরকার</t>
  </si>
  <si>
    <t>নিরেন্দ্রনাথ সরকার</t>
  </si>
  <si>
    <t>রঘুনাথ সরকার</t>
  </si>
  <si>
    <t>কৃষ্ণ কুমার সরকার</t>
  </si>
  <si>
    <t>নারায়ন চন্দ্র সরকার</t>
  </si>
  <si>
    <t>দুলাল চন্দ্র সরকার</t>
  </si>
  <si>
    <t>মোঃ শাহাজান আলী শেখ</t>
  </si>
  <si>
    <t>লালচান আলী</t>
  </si>
  <si>
    <t>আজন মন্ডল</t>
  </si>
  <si>
    <t>মোঃ মিজানুর রহমান</t>
  </si>
  <si>
    <t>আলীমুদ্দিন</t>
  </si>
  <si>
    <t>মোঃ সাহিমুল রহমান</t>
  </si>
  <si>
    <t>মোঃ সামসুদ্দিন</t>
  </si>
  <si>
    <t>মোঃ মাইনুল ইসলাম</t>
  </si>
  <si>
    <t>মোঃ মনির উদ্দিন</t>
  </si>
  <si>
    <t>মোঃ সেফাতুল্লা মোল্লা</t>
  </si>
  <si>
    <t>মোঃ  রহিম মোল্লা</t>
  </si>
  <si>
    <t>মোঃ আফসার উদ্দিন</t>
  </si>
  <si>
    <t>মোঃ হেফাজ উদ্দিন</t>
  </si>
  <si>
    <t>মোঃ আতাউর রহমান</t>
  </si>
  <si>
    <t>মোঃ জানু মন্ডল</t>
  </si>
  <si>
    <t>মোঃ হেফাজউদ্দিন</t>
  </si>
  <si>
    <t>মোঃ রহিম উদ্দিন</t>
  </si>
  <si>
    <t>মোঃ তমির উদ্দিন</t>
  </si>
  <si>
    <t>মোঃ গাইন পাইক</t>
  </si>
  <si>
    <t>মোঃ মাহবুর হোসেন</t>
  </si>
  <si>
    <t xml:space="preserve"> আফসার আলী</t>
  </si>
  <si>
    <t>মোঃ তছির মন্ডল</t>
  </si>
  <si>
    <t>মোঃ মুজাহার উদ্দন</t>
  </si>
  <si>
    <t>মোঃ চেরু পাইক</t>
  </si>
  <si>
    <t>মোঃ আলামিন</t>
  </si>
  <si>
    <t>মোঃ সালাম</t>
  </si>
  <si>
    <t>মোঃ আমজাদ হোসেন</t>
  </si>
  <si>
    <t>মোঃ আমির আলী</t>
  </si>
  <si>
    <t>মোঃ  আজিজুর রহমান</t>
  </si>
  <si>
    <t>মোঃ  আমির আলী</t>
  </si>
  <si>
    <t>মোঃ  আমির মন্ডল</t>
  </si>
  <si>
    <t>মোঃ  আব্দুল মান্নান</t>
  </si>
  <si>
    <t xml:space="preserve">মোঃ আমির আলী </t>
  </si>
  <si>
    <t>মোঃ  রায়হান আলী</t>
  </si>
  <si>
    <t>মোঃ  সাহেব আলী</t>
  </si>
  <si>
    <t>মোঃ  একরামুল হক</t>
  </si>
  <si>
    <t>মোঃ  আমির সর্দার</t>
  </si>
  <si>
    <t>মোঃ  আমিনুল হক</t>
  </si>
  <si>
    <t>মোঃ   লাহার সরদার</t>
  </si>
  <si>
    <t>মোঃ  মমতাজ উদ্দিন</t>
  </si>
  <si>
    <t>মোঃ  বাহার আলী</t>
  </si>
  <si>
    <t>মোঃ  ওমর আলী সরদার</t>
  </si>
  <si>
    <t>মোঃ  গুলজার আলী সরদার</t>
  </si>
  <si>
    <t>মোঃ  আব্দুল আজিজ মোল্লা</t>
  </si>
  <si>
    <t>মোঃ  আব্দুল করিম</t>
  </si>
  <si>
    <t>মোঃ  বেলাল উদ্দিন</t>
  </si>
  <si>
    <t>মোঃ আব্দুল করিম</t>
  </si>
  <si>
    <t>মোঃ  দেলোয়ার হোসেন</t>
  </si>
  <si>
    <t>মোঃ এমাজউদ্দীন</t>
  </si>
  <si>
    <t xml:space="preserve"> আতাউর  মৃধা</t>
  </si>
  <si>
    <t>মোঃ  নাজিম উদ্দিন মৃধা</t>
  </si>
  <si>
    <t>মোঃ  কাজিম উদ্দিন</t>
  </si>
  <si>
    <t>মোঃ লকিম উদ্দিন মৃধা</t>
  </si>
  <si>
    <t>মোঃ  আপেল মাহমুদ</t>
  </si>
  <si>
    <t>মোঃ মোবারক হোসেন</t>
  </si>
  <si>
    <t>মোঃ  হাফিজুর রহমান</t>
  </si>
  <si>
    <t>মোঃ হেফাজ মোল্লা</t>
  </si>
  <si>
    <t>মোঃ ইমাজ উদ্দিন</t>
  </si>
  <si>
    <t>মোঃ  সাজ্জাদ হোসেন</t>
  </si>
  <si>
    <t>মোঃ শেফাতুল্লাহ মোল্লা</t>
  </si>
  <si>
    <t>মোঃ  আমজাদ হোসেন</t>
  </si>
  <si>
    <t>মোঃ মহরম মোল্লা</t>
  </si>
  <si>
    <t>মোঃ  আব্দুর রহমান</t>
  </si>
  <si>
    <t>মোঃ  রিয়াজউদ্দিন</t>
  </si>
  <si>
    <t>মৃত সিরাজ উদ্দিন</t>
  </si>
  <si>
    <t>মোসাঃ রাশেদা বেগম</t>
  </si>
  <si>
    <t>মানিক</t>
  </si>
  <si>
    <t>মোঃ  বাসার উদ্দিন</t>
  </si>
  <si>
    <t>মোঃ আলম আলী সরদার</t>
  </si>
  <si>
    <t>মোঃ গুলজার আলী</t>
  </si>
  <si>
    <t>মোসাঃ সুফিয়া বেগম</t>
  </si>
  <si>
    <t>মোঃ তারাপদ দাস</t>
  </si>
  <si>
    <t>মোঃ রমজান আলী</t>
  </si>
  <si>
    <t>মোসাঃ বেদেনা খাতুন</t>
  </si>
  <si>
    <t>মোঃ আশকান আলী</t>
  </si>
  <si>
    <t>মোঃ সাদিকুল নবী</t>
  </si>
  <si>
    <t xml:space="preserve"> মৃত ইমাজ উদ্দিন</t>
  </si>
  <si>
    <t>মোঃ শামসুদ্দিন মোল্লা</t>
  </si>
  <si>
    <t>মোঃ খাইরুল ইসলাম</t>
  </si>
  <si>
    <t>মোঃ হাসান আলি</t>
  </si>
  <si>
    <t>মোঃ আহাম্মদ সরদার</t>
  </si>
  <si>
    <t>মোঃ আনোয়ার হোসেন</t>
  </si>
  <si>
    <t>মোঃ কাশেম সরদার</t>
  </si>
  <si>
    <t>মোঃ নূর মোহাম্মদ সরদার</t>
  </si>
  <si>
    <t>মোঃ ইয়াচিন আলী</t>
  </si>
  <si>
    <t>মোঃ আবুবাক্কার মন্ডল</t>
  </si>
  <si>
    <t>মোঃ সাইদুল রহমান</t>
  </si>
  <si>
    <t>দেলোয়ার হোসেন</t>
  </si>
  <si>
    <t>মোঃ শফিকুল ইসলাম</t>
  </si>
  <si>
    <t>মোঃ মনির উদ্দিন মন্ডল</t>
  </si>
  <si>
    <t xml:space="preserve">শ্রী বিমল কুমার </t>
  </si>
  <si>
    <t xml:space="preserve">রঘুনাথ সরকার </t>
  </si>
  <si>
    <t>মোঃ ফয়সাল হোসেন</t>
  </si>
  <si>
    <t>মোঃ ফিরোজ শেখ</t>
  </si>
  <si>
    <t>মোসাঃ মিলি বেগম</t>
  </si>
  <si>
    <t>মোঃ আমিন শেখ</t>
  </si>
  <si>
    <t>শ্রী কার্তিক চন্দ্র প্রামাণিক</t>
  </si>
  <si>
    <t>শ্রী দ্বিজেন্দ্রনাথ</t>
  </si>
  <si>
    <t>শ্রী সত্যেন্দ্রনাথ দাস</t>
  </si>
  <si>
    <t>নিতাই চন্দ্র</t>
  </si>
  <si>
    <t>শ্রী রিটন চন্দ্র দাস</t>
  </si>
  <si>
    <t>শ্রী বীরেন্দ্র নাথ সরকার</t>
  </si>
  <si>
    <t>শ্রী রঘুনাথ সরকার</t>
  </si>
  <si>
    <t>শ্রী শীতেন্দ্রনাথ প্রামানিক</t>
  </si>
  <si>
    <t>শ্রী নৃপেন্দ্রনাথ</t>
  </si>
  <si>
    <t>শ্রী নির্মল কুমার</t>
  </si>
  <si>
    <t>শ্রী মিশন কুমার</t>
  </si>
  <si>
    <t>শ্রী সজেন দ্রনাথ</t>
  </si>
  <si>
    <t>শ্রী অনয় কুমার</t>
  </si>
  <si>
    <t>শ্রী ব্রজেন্দ্রনাথ প্রামানিক</t>
  </si>
  <si>
    <t>শ্রী কানন চন্দ্র</t>
  </si>
  <si>
    <t>মোঃ ফচি মন্ডল</t>
  </si>
  <si>
    <t>তসির উদ্দিন</t>
  </si>
  <si>
    <t>মোঃ জাহাঙ্গীর মণ্ডল</t>
  </si>
  <si>
    <t>নাদের মন্ডল</t>
  </si>
  <si>
    <t>মোঃ বাদল মন্ডল</t>
  </si>
  <si>
    <t>মোঃ এরশাদ হোসেন</t>
  </si>
  <si>
    <t>আব্দুল আজিজ</t>
  </si>
  <si>
    <t>মোঃ আব্দুল জলিল</t>
  </si>
  <si>
    <t>মোঃ কামাল হোসেন</t>
  </si>
  <si>
    <t>ইমান আলী</t>
  </si>
  <si>
    <t>মোঃ আব্দুস সালাম</t>
  </si>
  <si>
    <t>জামাল সরদার</t>
  </si>
  <si>
    <t>মোঃ জামাল সরদার</t>
  </si>
  <si>
    <t>ইমান সরদার</t>
  </si>
  <si>
    <t>বিবারণ চন্দ্র শীল</t>
  </si>
  <si>
    <t>বিশ্বনাথ শীল</t>
  </si>
  <si>
    <t>দারেস চৌধুরী</t>
  </si>
  <si>
    <t>জাহাঙ্গীর চৌধুরী</t>
  </si>
  <si>
    <t>দারেস আলী</t>
  </si>
  <si>
    <t>নাসির উদ্দিন</t>
  </si>
  <si>
    <t xml:space="preserve"> রবিউল আলম</t>
  </si>
  <si>
    <t>রফিক চৌধুরী</t>
  </si>
  <si>
    <t>বাদল চৌধুরী</t>
  </si>
  <si>
    <t>আফসার চৌধুরী</t>
  </si>
  <si>
    <t>আজাদ চৌধুরী</t>
  </si>
  <si>
    <t>অজিত চন্দ্র</t>
  </si>
  <si>
    <t>সতীশচন্দ্র</t>
  </si>
  <si>
    <t>কানন চন্দ্র শীল</t>
  </si>
  <si>
    <t>ক্ষিতীশ চন্দ্র শীল</t>
  </si>
  <si>
    <t>গোলাপ</t>
  </si>
  <si>
    <t>সালমা বেগম</t>
  </si>
  <si>
    <t>তসলিম সরদার</t>
  </si>
  <si>
    <t>মেজবাউল বাবু</t>
  </si>
  <si>
    <t>শীতেন চন্দ্র শীল</t>
  </si>
  <si>
    <t>খগেন চন্দ্র শীল</t>
  </si>
  <si>
    <t>দ্বিজেন্দ্রনাথ শীল</t>
  </si>
  <si>
    <t>১ ৯৯২৮১১৯৪৫৭০০০১৯১</t>
  </si>
  <si>
    <t>১ ৯৯০৮১১৯৪৫৭০০০১১৯</t>
  </si>
  <si>
    <t>১ ৯৯০৮১১৯৪৫৭০০০২৪</t>
  </si>
  <si>
    <t>১ ৯৯৪৮১১৯৪৫৭০০০২৫৫</t>
  </si>
  <si>
    <t xml:space="preserve"> 0177 58014 86</t>
  </si>
  <si>
    <t xml:space="preserve"> 01798  1 13202</t>
  </si>
  <si>
    <t xml:space="preserve"> 017 951 01762</t>
  </si>
  <si>
    <t>811945781 8794</t>
  </si>
  <si>
    <t xml:space="preserve"> 01758 661 374</t>
  </si>
  <si>
    <t>811945781 878 2</t>
  </si>
  <si>
    <t xml:space="preserve"> 01768 5749 04</t>
  </si>
  <si>
    <t>811945781 87 30</t>
  </si>
  <si>
    <t xml:space="preserve"> 01726 5992 22</t>
  </si>
  <si>
    <t>811945781  8 764</t>
  </si>
  <si>
    <t xml:space="preserve"> 01792 597 125</t>
  </si>
  <si>
    <t>1993 8119457 000 153</t>
  </si>
  <si>
    <t xml:space="preserve"> 0174 4 5 30334</t>
  </si>
  <si>
    <t>811945781 87 59</t>
  </si>
  <si>
    <t xml:space="preserve"> 01740 3764 51</t>
  </si>
  <si>
    <t xml:space="preserve"> 01740 258 146</t>
  </si>
  <si>
    <t>1995 8119457 000 243</t>
  </si>
  <si>
    <t xml:space="preserve"> 01729 8160 73</t>
  </si>
  <si>
    <t>811945781 8799</t>
  </si>
  <si>
    <t xml:space="preserve"> 01767 2445 82</t>
  </si>
  <si>
    <t>811945781 2801</t>
  </si>
  <si>
    <t xml:space="preserve"> 0173 8750 822</t>
  </si>
  <si>
    <t>1993 8119457 000 168</t>
  </si>
  <si>
    <t xml:space="preserve"> 01737 6289 72</t>
  </si>
  <si>
    <t xml:space="preserve"> 240 4545 341</t>
  </si>
  <si>
    <t xml:space="preserve"> 01729 829 886</t>
  </si>
  <si>
    <t>1995 8119457 000 246</t>
  </si>
  <si>
    <t xml:space="preserve"> 01750 565 109</t>
  </si>
  <si>
    <t>1992 8119457 000 220</t>
  </si>
  <si>
    <t xml:space="preserve"> 01747 8650 68</t>
  </si>
  <si>
    <t>811945781 87 42</t>
  </si>
  <si>
    <t xml:space="preserve"> 0182 4484 380</t>
  </si>
  <si>
    <t>811945781 8738</t>
  </si>
  <si>
    <t xml:space="preserve"> 0178 41 55184</t>
  </si>
  <si>
    <t>1978 8119457 00000 7</t>
  </si>
  <si>
    <t xml:space="preserve"> 01740 242 164</t>
  </si>
  <si>
    <t>811945781 870 2</t>
  </si>
  <si>
    <t xml:space="preserve"> 01819 233 885</t>
  </si>
  <si>
    <t>81194578155 21</t>
  </si>
  <si>
    <t xml:space="preserve"> 0172 1568 635</t>
  </si>
  <si>
    <t>811945781  6755</t>
  </si>
  <si>
    <t>0178 6412 3 78</t>
  </si>
  <si>
    <t>811945781 87 16</t>
  </si>
  <si>
    <t>01717 303 608</t>
  </si>
  <si>
    <t>01750 66 1547</t>
  </si>
  <si>
    <t>1990 8119457 000 114</t>
  </si>
  <si>
    <t>811945781 1732</t>
  </si>
  <si>
    <t>01777 532 709</t>
  </si>
  <si>
    <t>1980 819 49900 01719</t>
  </si>
  <si>
    <t>01788 292 5 28</t>
  </si>
  <si>
    <t>811945781 88 21</t>
  </si>
  <si>
    <t>01739 1038 44</t>
  </si>
  <si>
    <t>811945781 882 4</t>
  </si>
  <si>
    <t>811945781 87 27</t>
  </si>
  <si>
    <t>01744 359 646</t>
  </si>
  <si>
    <t>9 15655 5535</t>
  </si>
  <si>
    <t>01737 465 383</t>
  </si>
  <si>
    <t>9 15647 3598</t>
  </si>
  <si>
    <t>0177 802 3063</t>
  </si>
  <si>
    <t>1980 81 1945 700000 9</t>
  </si>
  <si>
    <t>0130 3666 832</t>
  </si>
  <si>
    <t>811945781869 5</t>
  </si>
  <si>
    <t>0178 4767 604</t>
  </si>
  <si>
    <t>375 448 7886</t>
  </si>
  <si>
    <t>0173 818 3525</t>
  </si>
  <si>
    <t>01732 44334 8</t>
  </si>
  <si>
    <t>811945781 86 77</t>
  </si>
  <si>
    <t>01718 625 123</t>
  </si>
  <si>
    <t>81194578186 72</t>
  </si>
  <si>
    <t>01776 3200 68</t>
  </si>
  <si>
    <t>01739 400 286</t>
  </si>
  <si>
    <t>0175 359 8754</t>
  </si>
  <si>
    <t>01753 527 499</t>
  </si>
  <si>
    <t>811945781 8767</t>
  </si>
  <si>
    <t>01749 024 280</t>
  </si>
  <si>
    <t>0174 61612 67</t>
  </si>
  <si>
    <t>811945781 877 4</t>
  </si>
  <si>
    <t>0176 325 3015</t>
  </si>
  <si>
    <t>811945781 8780</t>
  </si>
  <si>
    <t>0184 537 1988</t>
  </si>
  <si>
    <t>811945781 87 56</t>
  </si>
  <si>
    <t>01 86 5 7 5100 3</t>
  </si>
  <si>
    <t>1981 8119457 00000 4</t>
  </si>
  <si>
    <t>01778 462 6077</t>
  </si>
  <si>
    <t>811945781 8790</t>
  </si>
  <si>
    <t>0172 1797 746</t>
  </si>
  <si>
    <t>01767 2548 77</t>
  </si>
  <si>
    <t>01740 215 170</t>
  </si>
  <si>
    <t>811945781 949 3</t>
  </si>
  <si>
    <t>0 18 4537 1986</t>
  </si>
  <si>
    <t>811945781 8763</t>
  </si>
  <si>
    <t>01736 96 5 144</t>
  </si>
  <si>
    <t>01741 5567 66</t>
  </si>
  <si>
    <t>0178 6872 148</t>
  </si>
  <si>
    <t>01773 687 116</t>
  </si>
  <si>
    <t>01739 1034 16</t>
  </si>
  <si>
    <t>01749 570 880</t>
  </si>
  <si>
    <t>01734 3934 36</t>
  </si>
  <si>
    <t>01739 1034 17</t>
  </si>
  <si>
    <t>01739 1034 19</t>
  </si>
  <si>
    <t>01727 22866 2</t>
  </si>
  <si>
    <t>01737 6 44334</t>
  </si>
  <si>
    <t>01 7 3 763 7053</t>
  </si>
  <si>
    <t>01776 958 610</t>
  </si>
  <si>
    <t>1989 81 1945 700005 3</t>
  </si>
  <si>
    <t>0177 168 99 6 5</t>
  </si>
  <si>
    <t>0178 92832 42</t>
  </si>
  <si>
    <t>81 1945 78 1 86 18</t>
  </si>
  <si>
    <t>01733 612 522</t>
  </si>
  <si>
    <t>8 1 1945 7 8 1861 7</t>
  </si>
  <si>
    <t>01722 975 538</t>
  </si>
  <si>
    <t>8 1 1945 7 8 1 8 606</t>
  </si>
  <si>
    <t>01732 403 177</t>
  </si>
  <si>
    <t>8 1 1945 7 8 1 8 616</t>
  </si>
  <si>
    <t>8 1 1945 7 8 1 8585</t>
  </si>
  <si>
    <t>0183 797 3516</t>
  </si>
  <si>
    <t>01734 245 585</t>
  </si>
  <si>
    <t>1 994 8 1 1945 7 000 185</t>
  </si>
  <si>
    <t>01796 1934 88</t>
  </si>
  <si>
    <t>0130 8316 361</t>
  </si>
  <si>
    <t>01725 1957 06</t>
  </si>
  <si>
    <t>8 1 1945 7 8 1 8584</t>
  </si>
  <si>
    <t>01747 2021 54</t>
  </si>
  <si>
    <t>8 1 1945 7 8 1 8550</t>
  </si>
  <si>
    <t>0186 3525 097</t>
  </si>
  <si>
    <t>01724 793 696</t>
  </si>
  <si>
    <t>01726 5533 26</t>
  </si>
  <si>
    <t>8 1 1945 7 8 1 8487</t>
  </si>
  <si>
    <t>01797 1802 26</t>
  </si>
  <si>
    <t>8 1 1945 7 8 1 8583</t>
  </si>
  <si>
    <t>0177 5 7 506 85</t>
  </si>
  <si>
    <t>8 1 1945 7 8 1 8526</t>
  </si>
  <si>
    <t>0173 80 29019</t>
  </si>
  <si>
    <t>8 1 1945 7 8 1 84 98</t>
  </si>
  <si>
    <t>01737 667 980</t>
  </si>
  <si>
    <t>8 1 1945 7 8 1 84 79</t>
  </si>
  <si>
    <t>01740 860 575</t>
  </si>
  <si>
    <t>8 1 1945 7 8 1 8491</t>
  </si>
  <si>
    <t>নৃপেন্দ্রনাথ মন্ডল</t>
  </si>
  <si>
    <t>নরেন্দ্র নাথ সাহা</t>
  </si>
  <si>
    <t>নগেন্দ্রনাথ সাহা</t>
  </si>
  <si>
    <t>দেবেন্দ্রনাথ সাহা</t>
  </si>
  <si>
    <t>উত্তম কুমার</t>
  </si>
  <si>
    <t>নগেন্দ্র নাথ সাহা</t>
  </si>
  <si>
    <t>দ্বিজেন্দ্রনাথ সাহা</t>
  </si>
  <si>
    <t>জ্যোতিষ চন্দ্র সাহা</t>
  </si>
  <si>
    <t>শ্রীপদ প্রামানিক</t>
  </si>
  <si>
    <t>সুধীর চন্দ্র প্রামাণিক</t>
  </si>
  <si>
    <t>দিলিপ প্রামানিক</t>
  </si>
  <si>
    <t>আকালু প্রামানিক</t>
  </si>
  <si>
    <t>ভূপেন্দ্রনাথ মন্ডল</t>
  </si>
  <si>
    <t xml:space="preserve"> নরেন</t>
  </si>
  <si>
    <t>হরেন্দ্র নাথ মন্ডল</t>
  </si>
  <si>
    <t>রামলাল</t>
  </si>
  <si>
    <t>শ্রী নারায়ন</t>
  </si>
  <si>
    <t>পরেশ প্রামানিক</t>
  </si>
  <si>
    <t>ব্রজেন প্রামানিক</t>
  </si>
  <si>
    <t>রামলাল মন্ডল</t>
  </si>
  <si>
    <t>নরেন্দ্রনাথ</t>
  </si>
  <si>
    <t>শ্যামাপদ</t>
  </si>
  <si>
    <t xml:space="preserve">বিনয় কুমার </t>
  </si>
  <si>
    <t>কালিপদ প্রামানিক</t>
  </si>
  <si>
    <t>চিত্ত রঞ্জন প্রামানিক</t>
  </si>
  <si>
    <t>শ্যামাপদ প্রামানিক</t>
  </si>
  <si>
    <t xml:space="preserve">সত্যেন্দ্রনাথ </t>
  </si>
  <si>
    <t>দ্বিজেন্দ্রনাথ প্রামানিক</t>
  </si>
  <si>
    <t>যতীন্দ্রনাথ প্রামানিক</t>
  </si>
  <si>
    <t>রিপন কুমার</t>
  </si>
  <si>
    <t>সুরঞ্জন প্রামাণিক</t>
  </si>
  <si>
    <t>তারাপদ প্রামানিক</t>
  </si>
  <si>
    <t>নিরাঞ্জন প্রামানিক</t>
  </si>
  <si>
    <t>তারাপদ</t>
  </si>
  <si>
    <t>সুধির প্রামানিক</t>
  </si>
  <si>
    <t>দুর্জয় কুমার</t>
  </si>
  <si>
    <t>মিত্তন প্রামানিক</t>
  </si>
  <si>
    <t>সুরেন্দ্রনাথ</t>
  </si>
  <si>
    <t>চিত্তরঞ্জন প্রামানিক</t>
  </si>
  <si>
    <t>শ্যামল কুমার</t>
  </si>
  <si>
    <t>অমূল্য চন্দ্র</t>
  </si>
  <si>
    <t>বলাই প্রামানিক</t>
  </si>
  <si>
    <t>রতিকান্ত প্রামানিক</t>
  </si>
  <si>
    <t>শ্রী চন্দন</t>
  </si>
  <si>
    <t>জিতেন্দ্রনাথ সাহা</t>
  </si>
  <si>
    <t>জিতেন্দ্রনাথ</t>
  </si>
  <si>
    <t>উজ্জল সাহা</t>
  </si>
  <si>
    <t>নির্মল প্রামানিক</t>
  </si>
  <si>
    <t>বৈদ্যনাথ প্রামানিক</t>
  </si>
  <si>
    <t>গোবিন্দ কুমার</t>
  </si>
  <si>
    <t>নীরেন্দ্রনাথ</t>
  </si>
  <si>
    <t>ভবানী</t>
  </si>
  <si>
    <t>রঞ্জিত প্রামানিক</t>
  </si>
  <si>
    <t>রমণী</t>
  </si>
  <si>
    <t>বাদল প্রামানিক</t>
  </si>
  <si>
    <t>আনন্দ চন্দ্র সাহা</t>
  </si>
  <si>
    <t>জিতেন্দ্র নাথ সাহা</t>
  </si>
  <si>
    <t>0176 282 3274</t>
  </si>
  <si>
    <t>8 1 1945 7 8 1 6528</t>
  </si>
  <si>
    <t>19898 1 1945 7 000067</t>
  </si>
  <si>
    <t>0174 22950 14</t>
  </si>
  <si>
    <t>8 1 1945 7 8 1 6491</t>
  </si>
  <si>
    <t>8 1 1945 7 8 1 6522</t>
  </si>
  <si>
    <t>01767 575 677</t>
  </si>
  <si>
    <t>01725 5390 77</t>
  </si>
  <si>
    <t>0174 2338 241</t>
  </si>
  <si>
    <t>01718 2141 22</t>
  </si>
  <si>
    <t>0175 035 2322</t>
  </si>
  <si>
    <t>8 1 1945 7 8 1 6486</t>
  </si>
  <si>
    <t>01727 943 251</t>
  </si>
  <si>
    <t>8 1 1945 7 8 1 6425</t>
  </si>
  <si>
    <t>8 1 1945 7 8 1 64 22</t>
  </si>
  <si>
    <t>0173 96 163 81</t>
  </si>
  <si>
    <t xml:space="preserve">8 1 1945 7 8 1 6520 </t>
  </si>
  <si>
    <t>0 176 2824 264</t>
  </si>
  <si>
    <t>8 1 1945 7 8 1 6418</t>
  </si>
  <si>
    <t>0173 8799 368</t>
  </si>
  <si>
    <t>8 1 1945 7 8 1 6482</t>
  </si>
  <si>
    <t>0173 1616 381</t>
  </si>
  <si>
    <t>8 1 1945 7 8 1 6521</t>
  </si>
  <si>
    <t>01761 4530 55</t>
  </si>
  <si>
    <t>8 1 1945 7 8 1 6488</t>
  </si>
  <si>
    <t>01737 4990 40</t>
  </si>
  <si>
    <t>8 1 1945 7 8 1 6445</t>
  </si>
  <si>
    <t>0187 464 9014</t>
  </si>
  <si>
    <t>1994 8 1 1945 7 0000 60</t>
  </si>
  <si>
    <t>01735 958 781</t>
  </si>
  <si>
    <t>8 1 1945 7 8 1 6523</t>
  </si>
  <si>
    <t>01723 798 163</t>
  </si>
  <si>
    <t>8 1 1945 7 8 1 6484</t>
  </si>
  <si>
    <t>8 1 1945 7 8 1 6480</t>
  </si>
  <si>
    <t>01785 445 988</t>
  </si>
  <si>
    <t>1992 8 1 1945 7 000 101</t>
  </si>
  <si>
    <t>01745 2519 27</t>
  </si>
  <si>
    <t>8 1 1945 7 8 1 6432</t>
  </si>
  <si>
    <t>01734 2085 85</t>
  </si>
  <si>
    <t>8 1 1945 7 8 1 6419</t>
  </si>
  <si>
    <t>01747 4805 54</t>
  </si>
  <si>
    <t>8 1 1945 7 8 1 6505</t>
  </si>
  <si>
    <t>01722 726 167</t>
  </si>
  <si>
    <t>1990 8 1 1945 7 000 201</t>
  </si>
  <si>
    <t>01819 2309 02</t>
  </si>
  <si>
    <t>8 1 1945 7 8 1 64 64</t>
  </si>
  <si>
    <t>01765 486 387</t>
  </si>
  <si>
    <t>8 1 1945 7 8 1 6441</t>
  </si>
  <si>
    <t xml:space="preserve"> 01773 0584 25</t>
  </si>
  <si>
    <t>8 1 1945 7 8 1 6499</t>
  </si>
  <si>
    <t>01792 21993 9</t>
  </si>
  <si>
    <t>8 1 1945 7 8 1 64 96</t>
  </si>
  <si>
    <t>01762 94707 1</t>
  </si>
  <si>
    <t>8 1 1945 7 8 1 6500</t>
  </si>
  <si>
    <t>01737 499 248</t>
  </si>
  <si>
    <t>8 1 1945 7 8 1 6476</t>
  </si>
  <si>
    <t>0175 3560 896</t>
  </si>
  <si>
    <t>957 72500 54</t>
  </si>
  <si>
    <t>01765 1859 67</t>
  </si>
  <si>
    <t>8 1 1945 7 8 1 6355</t>
  </si>
  <si>
    <t>01750 32 91 95</t>
  </si>
  <si>
    <t>8 1 1945 7 8 1 6456</t>
  </si>
  <si>
    <t>017867 39241</t>
  </si>
  <si>
    <t>81 1945 781 6474</t>
  </si>
  <si>
    <t>01724 1981 31</t>
  </si>
  <si>
    <t>8 1 1945 7 8 1 6506</t>
  </si>
  <si>
    <t>দুস্তরামপুর</t>
  </si>
  <si>
    <t>এরাজ উদ্দিন</t>
  </si>
  <si>
    <t>হারুনুর রশিদ</t>
  </si>
  <si>
    <t>আজিরউদ্দিন</t>
  </si>
  <si>
    <t>মহসিন আলী</t>
  </si>
  <si>
    <t>ময়েজ উদ্দিন</t>
  </si>
  <si>
    <t>ইমামুল মন্ডল</t>
  </si>
  <si>
    <t>জমির উদ্দিন</t>
  </si>
  <si>
    <t>মোসাঃ বকুল বেগম</t>
  </si>
  <si>
    <t>খুরশেদ</t>
  </si>
  <si>
    <t>সমির উদ্দিন</t>
  </si>
  <si>
    <t>সেলিম উদ্দিন</t>
  </si>
  <si>
    <t>মোঃ নুরুল</t>
  </si>
  <si>
    <t>আব্দুর রাজ্জাক</t>
  </si>
  <si>
    <t>তাজির উদ্দিন</t>
  </si>
  <si>
    <t>মাইনুল ইসলাম</t>
  </si>
  <si>
    <t>ফিরোজ আল মামুন</t>
  </si>
  <si>
    <t>মোসাঃ আবেদা বেগম</t>
  </si>
  <si>
    <t>মিরাজ মন্ডল</t>
  </si>
  <si>
    <t>শাফিউল ইসলাম</t>
  </si>
  <si>
    <t>আল-আমিন শেখ</t>
  </si>
  <si>
    <t>গোলাম রাব্বানী</t>
  </si>
  <si>
    <t>আমিনা বেগম</t>
  </si>
  <si>
    <t>বাহার মুন্না</t>
  </si>
  <si>
    <t>আব্দুল আল হাদী</t>
  </si>
  <si>
    <t>কাশেম উদ্দিন</t>
  </si>
  <si>
    <t>কাসেম আলী</t>
  </si>
  <si>
    <t>মৃত ময়েজ উদ্দিন</t>
  </si>
  <si>
    <t>রাসেল মন্ডল</t>
  </si>
  <si>
    <t>রুবেল আলি</t>
  </si>
  <si>
    <t>খইবর আলী</t>
  </si>
  <si>
    <t>সাজ্জাদ হোসেন</t>
  </si>
  <si>
    <t>মোঃ আলম</t>
  </si>
  <si>
    <t>চান্দু মোল্লা</t>
  </si>
  <si>
    <t>ফিরোজ মন্ডল</t>
  </si>
  <si>
    <t>দাউদ আলী</t>
  </si>
  <si>
    <t>মোহাম্মদ রানা</t>
  </si>
  <si>
    <t>রকিব উল্লাহ</t>
  </si>
  <si>
    <t xml:space="preserve"> রকিব উল্লাহ</t>
  </si>
  <si>
    <t>আনেচ উদ্দিন</t>
  </si>
  <si>
    <t>দারেজ মৃধা</t>
  </si>
  <si>
    <t>গরীবুল্লাহ মৃধা</t>
  </si>
  <si>
    <t>আব্দুল্লাহ আল মামুন</t>
  </si>
  <si>
    <t>মোঃ মনসুর রহমান</t>
  </si>
  <si>
    <t>মোজাম্মেল আলী</t>
  </si>
  <si>
    <t>মনসুর রহমান</t>
  </si>
  <si>
    <t>সবুজ হসেন</t>
  </si>
  <si>
    <t>আজিজুর রহমান</t>
  </si>
  <si>
    <t>শরীয়তউল্লাহ মৃধা</t>
  </si>
  <si>
    <t>মুজিবুর রহমান</t>
  </si>
  <si>
    <t>মুরাদ আলি</t>
  </si>
  <si>
    <t>আসমা খাতুন</t>
  </si>
  <si>
    <t>সিরাজ উদ্দিন</t>
  </si>
  <si>
    <t>রাজু আহমেদ</t>
  </si>
  <si>
    <t>রহমতউল্লাহ</t>
  </si>
  <si>
    <t xml:space="preserve">জহির মৃধা </t>
  </si>
  <si>
    <t>জহির উদ্দিন</t>
  </si>
  <si>
    <t>রহমত উল্লাহ মৃধা</t>
  </si>
  <si>
    <t>রায়হান সরকার</t>
  </si>
  <si>
    <t>আব্দুল মান্নান</t>
  </si>
  <si>
    <t>আবু তালেব</t>
  </si>
  <si>
    <t>জিয়ার তুল্লা</t>
  </si>
  <si>
    <t>খালিদ হোসেন</t>
  </si>
  <si>
    <t xml:space="preserve"> নজরুল ইসলাম</t>
  </si>
  <si>
    <t>মারুফ হোসেন</t>
  </si>
  <si>
    <t>আব্দুল মতিন</t>
  </si>
  <si>
    <t>জিয়ারত আলী</t>
  </si>
  <si>
    <t>রাশেদ হোসেন</t>
  </si>
  <si>
    <t>ফিরোজ আহমেদ বাহাদুর</t>
  </si>
  <si>
    <t>এশারত আলী</t>
  </si>
  <si>
    <t>জিয়ার তুল্লা মন্ডল</t>
  </si>
  <si>
    <t>রোকিয়া বেগম</t>
  </si>
  <si>
    <t>আব্দুল কাদের</t>
  </si>
  <si>
    <t>বেশারত মন্ডল</t>
  </si>
  <si>
    <t>মেনু মন্ডল</t>
  </si>
  <si>
    <t>মাহফুজা খাতুন</t>
  </si>
  <si>
    <t xml:space="preserve"> আলাউদ্দিন আলী</t>
  </si>
  <si>
    <t>রিয়াজউদ্দিন</t>
  </si>
  <si>
    <t>আজিম উদ্দিন</t>
  </si>
  <si>
    <t>মৃতঃ জয়নাল</t>
  </si>
  <si>
    <t>মোঃ মোস্তাকিম</t>
  </si>
  <si>
    <t>মোঃ  নূর মোহাম্মদ</t>
  </si>
  <si>
    <t>মোঃ আয়েজুদ্দিন</t>
  </si>
  <si>
    <t>মোঃ ময়েজ উদ্দিন</t>
  </si>
  <si>
    <t>ফয়েজ উদ্দিন</t>
  </si>
  <si>
    <t>মোঃ শুকুর উদ্দিন</t>
  </si>
  <si>
    <t>মোঃ শহিদুল ইসলাম</t>
  </si>
  <si>
    <t>মোঃ আব্দুস সাত্তার</t>
  </si>
  <si>
    <t>মোঃ মেকুর মন্ডল</t>
  </si>
  <si>
    <t>মোঃ আব্দুল কাদের</t>
  </si>
  <si>
    <t>মৃত অনু মন্ডল</t>
  </si>
  <si>
    <t>মোঃ জাহাঙ্গীর হোসেন</t>
  </si>
  <si>
    <t>01739 10 1396</t>
  </si>
  <si>
    <t>8 1 1945 7 8 1 68 41</t>
  </si>
  <si>
    <t>01749 463 178</t>
  </si>
  <si>
    <t>8 1 1945 7 8 1 65 91</t>
  </si>
  <si>
    <t>0170 6751 733</t>
  </si>
  <si>
    <t>8 1 1945 7 8 1 6700</t>
  </si>
  <si>
    <t>017 36844 663</t>
  </si>
  <si>
    <t>8 1 1945 7 8 1 6587</t>
  </si>
  <si>
    <t>013 10282 705</t>
  </si>
  <si>
    <t>8 1 1945 7 8 1 6830</t>
  </si>
  <si>
    <t>01761 0167 33</t>
  </si>
  <si>
    <t>8 1 1945 7 8 1 6574</t>
  </si>
  <si>
    <t>150 635 3992</t>
  </si>
  <si>
    <t>01739 2014 0 5</t>
  </si>
  <si>
    <t>8 1 1945 7 8 1 67 94</t>
  </si>
  <si>
    <t>0172 16 64013</t>
  </si>
  <si>
    <t>8 1 1945 7 8 1 6596</t>
  </si>
  <si>
    <t>01799 76902 4</t>
  </si>
  <si>
    <t>8257 4938 46</t>
  </si>
  <si>
    <t>8 1 1945 7 8 1 6594</t>
  </si>
  <si>
    <t>01740 3203 24</t>
  </si>
  <si>
    <t>8 1 1945 7 8 1 68 28</t>
  </si>
  <si>
    <t>0172 1869 392</t>
  </si>
  <si>
    <t>8 1 1945 7 8 1 6598</t>
  </si>
  <si>
    <t>0172 0452 420</t>
  </si>
  <si>
    <t>8 1 1945 7 8 1 6831</t>
  </si>
  <si>
    <t>01778 3639 72</t>
  </si>
  <si>
    <t>1 990 8 1 1945 7 000024</t>
  </si>
  <si>
    <t>0178 2573 869</t>
  </si>
  <si>
    <t>8 1 1945 7 8 1 6800</t>
  </si>
  <si>
    <t>0174 6070 180</t>
  </si>
  <si>
    <t>19898 1 1945 7 000098</t>
  </si>
  <si>
    <t>0178 4830 519</t>
  </si>
  <si>
    <t>8 1 1945 7 8 32398</t>
  </si>
  <si>
    <t>01787 2837 44</t>
  </si>
  <si>
    <t>8 1 1945 7 8 1 663 2</t>
  </si>
  <si>
    <t>0174 6050 298</t>
  </si>
  <si>
    <t>1992 8 1 1945 7 000 233</t>
  </si>
  <si>
    <t>01756 4396 38</t>
  </si>
  <si>
    <t>8 1 1945 7 8 1 6705</t>
  </si>
  <si>
    <t>0 1853 09 19 01</t>
  </si>
  <si>
    <t>8 1 1945 7 8 1 67 31</t>
  </si>
  <si>
    <t>0175 1564 927</t>
  </si>
  <si>
    <t>8 1 1945 7 8 1 663 8</t>
  </si>
  <si>
    <t>0177 458 5063</t>
  </si>
  <si>
    <t>8 1 1945 7 8 1 6 7 8 0</t>
  </si>
  <si>
    <t>1996 8 1 1945 7 00000 3</t>
  </si>
  <si>
    <t>01726 3142 32</t>
  </si>
  <si>
    <t>8 1 1945 7 8 1 6817</t>
  </si>
  <si>
    <t>01744 5962 53</t>
  </si>
  <si>
    <t>780 658 7304</t>
  </si>
  <si>
    <t>01743 921 776</t>
  </si>
  <si>
    <t>8 1 1945 7 8 1 6609</t>
  </si>
  <si>
    <t>0176 3190 017</t>
  </si>
  <si>
    <t>8 1 1945 7 8 1 6642</t>
  </si>
  <si>
    <t>01780 9068 50</t>
  </si>
  <si>
    <t>8 1 1945 7 8 1 660 7</t>
  </si>
  <si>
    <t>0173 850 1961</t>
  </si>
  <si>
    <t>10 28 29 30 15</t>
  </si>
  <si>
    <t>01744 8810 23</t>
  </si>
  <si>
    <t>8 1 1945 7 8 1 6560</t>
  </si>
  <si>
    <t>01714 289 137</t>
  </si>
  <si>
    <t>01734 589 208</t>
  </si>
  <si>
    <t>8 1 1945 7 8 1 6559</t>
  </si>
  <si>
    <t>01722 731 505</t>
  </si>
  <si>
    <t xml:space="preserve"> 1992 81 1945 700023 4</t>
  </si>
  <si>
    <t>0176 3166 765</t>
  </si>
  <si>
    <t>1994 8 1 1945 7  000 299</t>
  </si>
  <si>
    <t>0173 1973 99</t>
  </si>
  <si>
    <t>8 1 1945 7 8 1 6555</t>
  </si>
  <si>
    <t>0172 10346 32</t>
  </si>
  <si>
    <t>8 1 1945 7 8 1  6558</t>
  </si>
  <si>
    <t>01749 33129 4</t>
  </si>
  <si>
    <t>8 1 1945 7 8 1  6557</t>
  </si>
  <si>
    <t>01773 056 284</t>
  </si>
  <si>
    <t>8 1 1945 7 8 1  6556</t>
  </si>
  <si>
    <t>0173 8026 619</t>
  </si>
  <si>
    <t xml:space="preserve"> 1956 684 862</t>
  </si>
  <si>
    <t>01723 7986 18</t>
  </si>
  <si>
    <t xml:space="preserve"> 81 1945 7816 570</t>
  </si>
  <si>
    <t>01740 93709 4</t>
  </si>
  <si>
    <t xml:space="preserve"> 1969 8119 4578 1655 4</t>
  </si>
  <si>
    <t xml:space="preserve"> 870 451 9077</t>
  </si>
  <si>
    <t>01734 2869 61</t>
  </si>
  <si>
    <t>01762 333 794</t>
  </si>
  <si>
    <t>8 1 1945 7 8 1 16 24</t>
  </si>
  <si>
    <t>01710 225 158</t>
  </si>
  <si>
    <t>280 63591 43</t>
  </si>
  <si>
    <t>01760 014 804</t>
  </si>
  <si>
    <t>1996 8 1 1945 7 00000 4</t>
  </si>
  <si>
    <t>01739 101 345</t>
  </si>
  <si>
    <t>8 1 1945 7 8 1 68 38</t>
  </si>
  <si>
    <t>0172 12167 93</t>
  </si>
  <si>
    <t>8 1 1945 7 8 1 66 31</t>
  </si>
  <si>
    <t>01780 9087 43</t>
  </si>
  <si>
    <t>8 1 1945 7 8 1 6602</t>
  </si>
  <si>
    <t>0 1926 8 76 170</t>
  </si>
  <si>
    <t>8 1 1945 7 8 1 6724</t>
  </si>
  <si>
    <t>01753 0392 26</t>
  </si>
  <si>
    <t>19958 1 1945 7 000041</t>
  </si>
  <si>
    <t>018 20502 234</t>
  </si>
  <si>
    <t>6416 9805 1531</t>
  </si>
  <si>
    <t>01733 116 608</t>
  </si>
  <si>
    <t>1994 8 1 1945 7 000 202</t>
  </si>
  <si>
    <t>01719 976 762</t>
  </si>
  <si>
    <t>8 1 1945 7 8 1 6801</t>
  </si>
  <si>
    <t>01750 8944 73</t>
  </si>
  <si>
    <t>1994 8 1 1945 7 000 203</t>
  </si>
  <si>
    <t>01783 123169</t>
  </si>
  <si>
    <t>8 1 1945 7 8 1 67 26</t>
  </si>
  <si>
    <t>01793 771 482</t>
  </si>
  <si>
    <t>8 1 1945 7 8 1 6568</t>
  </si>
  <si>
    <t>0164 8224 834</t>
  </si>
  <si>
    <t>8 1 1945 7 8 1 6569</t>
  </si>
  <si>
    <t>01707 7 7 2149</t>
  </si>
  <si>
    <t>8 1 1945 7 8 1 67 22</t>
  </si>
  <si>
    <t>01750 841 176</t>
  </si>
  <si>
    <t>8 1 1945 7 8 1 6823</t>
  </si>
  <si>
    <t>01724 133 190</t>
  </si>
  <si>
    <t>8 1 1945 7 8 1 67 44</t>
  </si>
  <si>
    <t>0162 39 22852</t>
  </si>
  <si>
    <t>1979 8 1 1945 7 816 818</t>
  </si>
  <si>
    <t>01771 788166</t>
  </si>
  <si>
    <t>8 1 1945 7 8 1 5559</t>
  </si>
  <si>
    <t>0164 8224 840</t>
  </si>
  <si>
    <t>8 1 1945 7 8 1 6825</t>
  </si>
  <si>
    <t>0178 4038 455</t>
  </si>
  <si>
    <t>8 1 1945 7 8 1 6658</t>
  </si>
  <si>
    <t>1996 8 1 1945 7 00000 2</t>
  </si>
  <si>
    <t>01787 5 4 5231</t>
  </si>
  <si>
    <t>8 1 1945 7 8 1 6656</t>
  </si>
  <si>
    <t>01727 5926 42</t>
  </si>
  <si>
    <t>8 1 1945 7 8 1 6645</t>
  </si>
  <si>
    <t>01739 926 723</t>
  </si>
  <si>
    <t>8 1 1945 7 8 1 9732</t>
  </si>
  <si>
    <t>01783 287 396</t>
  </si>
  <si>
    <t>8 1 1945 7 8 1 67 11</t>
  </si>
  <si>
    <t>01797 734422</t>
  </si>
  <si>
    <t>8 1 1945 7 8 1 670 3</t>
  </si>
  <si>
    <t>01760 640 229</t>
  </si>
  <si>
    <t>8 1 1945 7 8 1 6712</t>
  </si>
  <si>
    <t xml:space="preserve"> কৃষ্ণপুর</t>
  </si>
  <si>
    <t>শ্রী: জিতেন চন্দ্র পন্ডিত</t>
  </si>
  <si>
    <t>মো: আমেজ উদ্দীন মন্ডল</t>
  </si>
  <si>
    <t>মো: উজির মন্ডল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</si>
</sst>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.00_-;\-&quot;£&quot;* #,##0.00_-;_-&quot;£&quot;* &quot;-&quot;??_-;_-@_-"/>
    <numFmt numFmtId="165" formatCode="[$-5000445]0"/>
    <numFmt numFmtId="166" formatCode="[$-5000445]0.##"/>
    <numFmt numFmtId="167" formatCode="[$-5000445]0.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Nikosh"/>
    </font>
    <font>
      <sz val="12"/>
      <color theme="1"/>
      <name val="Calibri"/>
      <family val="2"/>
      <scheme val="minor"/>
    </font>
    <font>
      <sz val="12"/>
      <color theme="1"/>
      <name val="Nikosh"/>
    </font>
    <font>
      <sz val="11"/>
      <color theme="1"/>
      <name val="SutonnyMJ"/>
    </font>
    <font>
      <sz val="12"/>
      <color theme="1"/>
      <name val="SutonnyMJ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utonnyMJ"/>
    </font>
    <font>
      <sz val="11"/>
      <name val="Nikosh"/>
    </font>
    <font>
      <sz val="12"/>
      <name val="Calibri"/>
      <family val="2"/>
      <scheme val="minor"/>
    </font>
    <font>
      <b/>
      <sz val="12"/>
      <color theme="1"/>
      <name val="Nikosh"/>
    </font>
    <font>
      <sz val="12"/>
      <name val="Nikosh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1" xfId="0" applyFont="1" applyBorder="1"/>
    <xf numFmtId="0" fontId="2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67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left" vertical="top"/>
    </xf>
    <xf numFmtId="0" fontId="8" fillId="0" borderId="1" xfId="0" applyFont="1" applyBorder="1"/>
    <xf numFmtId="0" fontId="4" fillId="0" borderId="1" xfId="0" applyFont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12" fontId="13" fillId="0" borderId="1" xfId="0" applyNumberFormat="1" applyFont="1" applyBorder="1" applyAlignment="1">
      <alignment horizontal="center" vertical="center" wrapText="1"/>
    </xf>
    <xf numFmtId="12" fontId="0" fillId="0" borderId="1" xfId="0" applyNumberFormat="1" applyFont="1" applyBorder="1"/>
    <xf numFmtId="12" fontId="6" fillId="0" borderId="1" xfId="0" applyNumberFormat="1" applyFont="1" applyBorder="1"/>
    <xf numFmtId="12" fontId="8" fillId="0" borderId="1" xfId="0" applyNumberFormat="1" applyFont="1" applyBorder="1"/>
    <xf numFmtId="12" fontId="4" fillId="0" borderId="0" xfId="0" applyNumberFormat="1" applyFont="1" applyAlignment="1">
      <alignment horizontal="center" vertical="top"/>
    </xf>
    <xf numFmtId="12" fontId="1" fillId="0" borderId="0" xfId="0" applyNumberFormat="1" applyFont="1" applyAlignment="1">
      <alignment horizontal="left" vertical="top"/>
    </xf>
    <xf numFmtId="12" fontId="1" fillId="0" borderId="0" xfId="0" applyNumberFormat="1" applyFont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left" vertical="top" wrapText="1"/>
    </xf>
    <xf numFmtId="12" fontId="4" fillId="2" borderId="1" xfId="0" applyNumberFormat="1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/>
    </xf>
    <xf numFmtId="12" fontId="4" fillId="0" borderId="1" xfId="0" applyNumberFormat="1" applyFont="1" applyBorder="1" applyAlignment="1">
      <alignment horizontal="left" vertical="center"/>
    </xf>
    <xf numFmtId="12" fontId="10" fillId="0" borderId="1" xfId="1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2" fontId="0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12" fontId="5" fillId="0" borderId="1" xfId="0" applyNumberFormat="1" applyFont="1" applyBorder="1" applyAlignment="1">
      <alignment horizontal="left" vertical="top"/>
    </xf>
    <xf numFmtId="165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12" fontId="4" fillId="0" borderId="2" xfId="0" applyNumberFormat="1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5" fontId="8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32"/>
  <sheetViews>
    <sheetView tabSelected="1" topLeftCell="A3254" zoomScale="90" zoomScaleNormal="90" workbookViewId="0">
      <selection activeCell="B3268" sqref="B3268"/>
    </sheetView>
  </sheetViews>
  <sheetFormatPr defaultRowHeight="15.75" x14ac:dyDescent="0.25"/>
  <cols>
    <col min="1" max="1" width="7.7109375" style="2" customWidth="1"/>
    <col min="2" max="2" width="21.5703125" style="2" customWidth="1"/>
    <col min="3" max="3" width="22.7109375" style="2" customWidth="1"/>
    <col min="4" max="4" width="14.85546875" style="2" customWidth="1"/>
    <col min="5" max="5" width="19.28515625" style="2" customWidth="1"/>
    <col min="6" max="6" width="28.28515625" style="27" customWidth="1"/>
    <col min="7" max="7" width="15.42578125" style="2" customWidth="1"/>
    <col min="8" max="8" width="14.7109375" style="2" customWidth="1"/>
    <col min="9" max="9" width="13.42578125" style="2" customWidth="1"/>
    <col min="10" max="10" width="8.7109375" style="2" customWidth="1"/>
    <col min="11" max="16384" width="9.140625" style="2"/>
  </cols>
  <sheetData>
    <row r="1" spans="1:15" ht="57" customHeight="1" x14ac:dyDescent="0.25">
      <c r="B1" s="20" t="s">
        <v>334</v>
      </c>
      <c r="C1" s="74" t="s">
        <v>335</v>
      </c>
      <c r="D1" s="74" t="s">
        <v>336</v>
      </c>
      <c r="E1" s="74" t="s">
        <v>337</v>
      </c>
      <c r="F1" s="21" t="s">
        <v>338</v>
      </c>
      <c r="G1" s="74" t="s">
        <v>339</v>
      </c>
      <c r="H1" s="74" t="s">
        <v>340</v>
      </c>
      <c r="I1" s="74" t="s">
        <v>341</v>
      </c>
      <c r="J1" s="20" t="s">
        <v>342</v>
      </c>
      <c r="K1" s="1"/>
      <c r="L1" s="1"/>
      <c r="M1" s="1"/>
      <c r="N1" s="1"/>
      <c r="O1" s="1"/>
    </row>
    <row r="2" spans="1:15" s="29" customFormat="1" ht="17.25" x14ac:dyDescent="0.25">
      <c r="A2" s="39">
        <v>1</v>
      </c>
      <c r="B2" s="31" t="s">
        <v>4295</v>
      </c>
      <c r="C2" s="31" t="s">
        <v>4296</v>
      </c>
      <c r="D2" s="32" t="s">
        <v>296</v>
      </c>
      <c r="E2" s="33">
        <v>1705918880</v>
      </c>
      <c r="F2" s="34">
        <v>8119457818468</v>
      </c>
      <c r="G2" s="35">
        <v>130306161879</v>
      </c>
      <c r="H2" s="33">
        <v>110</v>
      </c>
      <c r="I2" s="33">
        <v>110</v>
      </c>
      <c r="J2" s="28"/>
    </row>
    <row r="3" spans="1:15" s="29" customFormat="1" ht="17.25" x14ac:dyDescent="0.25">
      <c r="A3" s="39">
        <v>2</v>
      </c>
      <c r="B3" s="31" t="s">
        <v>4297</v>
      </c>
      <c r="C3" s="31" t="s">
        <v>4298</v>
      </c>
      <c r="D3" s="32" t="s">
        <v>296</v>
      </c>
      <c r="E3" s="33">
        <v>1733621448</v>
      </c>
      <c r="F3" s="34">
        <v>8119457818467</v>
      </c>
      <c r="G3" s="35">
        <v>130306161873</v>
      </c>
      <c r="H3" s="33">
        <v>733</v>
      </c>
      <c r="I3" s="33">
        <v>733</v>
      </c>
      <c r="J3" s="28"/>
    </row>
    <row r="4" spans="1:15" s="29" customFormat="1" ht="17.25" x14ac:dyDescent="0.25">
      <c r="A4" s="39">
        <v>3</v>
      </c>
      <c r="B4" s="31" t="s">
        <v>4298</v>
      </c>
      <c r="C4" s="31" t="s">
        <v>4299</v>
      </c>
      <c r="D4" s="32" t="s">
        <v>296</v>
      </c>
      <c r="E4" s="33">
        <v>1733621448</v>
      </c>
      <c r="F4" s="34">
        <v>8119457818463</v>
      </c>
      <c r="G4" s="35">
        <v>130306161867</v>
      </c>
      <c r="H4" s="33">
        <v>82</v>
      </c>
      <c r="I4" s="33">
        <v>82</v>
      </c>
      <c r="J4" s="28"/>
    </row>
    <row r="5" spans="1:15" s="29" customFormat="1" ht="17.25" x14ac:dyDescent="0.25">
      <c r="A5" s="39">
        <v>4</v>
      </c>
      <c r="B5" s="31" t="s">
        <v>4300</v>
      </c>
      <c r="C5" s="31" t="s">
        <v>4299</v>
      </c>
      <c r="D5" s="32" t="s">
        <v>296</v>
      </c>
      <c r="E5" s="33">
        <v>1738706382</v>
      </c>
      <c r="F5" s="34">
        <v>8119457818470</v>
      </c>
      <c r="G5" s="35">
        <v>130306161874</v>
      </c>
      <c r="H5" s="33">
        <v>499</v>
      </c>
      <c r="I5" s="33">
        <v>499</v>
      </c>
      <c r="J5" s="28"/>
    </row>
    <row r="6" spans="1:15" s="29" customFormat="1" ht="17.25" x14ac:dyDescent="0.25">
      <c r="A6" s="39">
        <v>5</v>
      </c>
      <c r="B6" s="31" t="s">
        <v>4301</v>
      </c>
      <c r="C6" s="31" t="s">
        <v>4302</v>
      </c>
      <c r="D6" s="32" t="s">
        <v>296</v>
      </c>
      <c r="E6" s="33">
        <v>1765415888</v>
      </c>
      <c r="F6" s="34">
        <v>8119457818472</v>
      </c>
      <c r="G6" s="35">
        <v>130306161881</v>
      </c>
      <c r="H6" s="33">
        <v>100</v>
      </c>
      <c r="I6" s="33">
        <v>100</v>
      </c>
      <c r="J6" s="28"/>
    </row>
    <row r="7" spans="1:15" s="29" customFormat="1" ht="17.25" x14ac:dyDescent="0.25">
      <c r="A7" s="39">
        <v>6</v>
      </c>
      <c r="B7" s="31" t="s">
        <v>4303</v>
      </c>
      <c r="C7" s="31" t="s">
        <v>4299</v>
      </c>
      <c r="D7" s="32" t="s">
        <v>296</v>
      </c>
      <c r="E7" s="33">
        <v>1745134344</v>
      </c>
      <c r="F7" s="34">
        <v>8119457818473</v>
      </c>
      <c r="G7" s="35">
        <v>130306161869</v>
      </c>
      <c r="H7" s="33">
        <v>100</v>
      </c>
      <c r="I7" s="33">
        <v>100</v>
      </c>
      <c r="J7" s="28"/>
    </row>
    <row r="8" spans="1:15" s="29" customFormat="1" ht="17.25" x14ac:dyDescent="0.25">
      <c r="A8" s="39">
        <v>7</v>
      </c>
      <c r="B8" s="31" t="s">
        <v>4304</v>
      </c>
      <c r="C8" s="31" t="s">
        <v>4305</v>
      </c>
      <c r="D8" s="32" t="s">
        <v>296</v>
      </c>
      <c r="E8" s="33">
        <v>1306372371</v>
      </c>
      <c r="F8" s="34" t="s">
        <v>4385</v>
      </c>
      <c r="G8" s="35"/>
      <c r="H8" s="33">
        <v>110</v>
      </c>
      <c r="I8" s="33">
        <v>110</v>
      </c>
      <c r="J8" s="28"/>
    </row>
    <row r="9" spans="1:15" s="29" customFormat="1" ht="17.25" x14ac:dyDescent="0.25">
      <c r="A9" s="39">
        <v>8</v>
      </c>
      <c r="B9" s="31" t="s">
        <v>4306</v>
      </c>
      <c r="C9" s="31" t="s">
        <v>4307</v>
      </c>
      <c r="D9" s="32" t="s">
        <v>296</v>
      </c>
      <c r="E9" s="33">
        <v>1736454987</v>
      </c>
      <c r="F9" s="34">
        <v>8119457818477</v>
      </c>
      <c r="G9" s="35">
        <v>130306161880</v>
      </c>
      <c r="H9" s="33">
        <v>680</v>
      </c>
      <c r="I9" s="33">
        <v>680</v>
      </c>
      <c r="J9" s="28"/>
    </row>
    <row r="10" spans="1:15" s="29" customFormat="1" ht="17.25" x14ac:dyDescent="0.25">
      <c r="A10" s="39">
        <v>9</v>
      </c>
      <c r="B10" s="31" t="s">
        <v>4308</v>
      </c>
      <c r="C10" s="31" t="s">
        <v>4309</v>
      </c>
      <c r="D10" s="32" t="s">
        <v>296</v>
      </c>
      <c r="E10" s="33">
        <v>866618316</v>
      </c>
      <c r="F10" s="34">
        <v>8119457818184</v>
      </c>
      <c r="G10" s="35"/>
      <c r="H10" s="33">
        <v>206</v>
      </c>
      <c r="I10" s="33">
        <v>206</v>
      </c>
      <c r="J10" s="28"/>
    </row>
    <row r="11" spans="1:15" s="29" customFormat="1" ht="17.25" x14ac:dyDescent="0.25">
      <c r="A11" s="39">
        <v>10</v>
      </c>
      <c r="B11" s="31" t="s">
        <v>4310</v>
      </c>
      <c r="C11" s="31" t="s">
        <v>4311</v>
      </c>
      <c r="D11" s="32" t="s">
        <v>296</v>
      </c>
      <c r="E11" s="33">
        <v>650224760</v>
      </c>
      <c r="F11" s="34">
        <v>8119457818449</v>
      </c>
      <c r="G11" s="35">
        <v>130306161831</v>
      </c>
      <c r="H11" s="33">
        <v>173</v>
      </c>
      <c r="I11" s="33">
        <v>173</v>
      </c>
      <c r="J11" s="28"/>
    </row>
    <row r="12" spans="1:15" s="29" customFormat="1" ht="31.5" x14ac:dyDescent="0.25">
      <c r="A12" s="39">
        <v>11</v>
      </c>
      <c r="B12" s="31" t="s">
        <v>4312</v>
      </c>
      <c r="C12" s="31" t="s">
        <v>4313</v>
      </c>
      <c r="D12" s="32" t="s">
        <v>296</v>
      </c>
      <c r="E12" s="33">
        <v>1772176971</v>
      </c>
      <c r="F12" s="34">
        <v>8119457818456</v>
      </c>
      <c r="G12" s="35">
        <v>130306161866</v>
      </c>
      <c r="H12" s="33">
        <v>19</v>
      </c>
      <c r="I12" s="33">
        <v>19</v>
      </c>
      <c r="J12" s="28"/>
    </row>
    <row r="13" spans="1:15" s="29" customFormat="1" ht="31.5" x14ac:dyDescent="0.25">
      <c r="A13" s="39">
        <v>12</v>
      </c>
      <c r="B13" s="31" t="s">
        <v>4314</v>
      </c>
      <c r="C13" s="31" t="s">
        <v>4315</v>
      </c>
      <c r="D13" s="32" t="s">
        <v>296</v>
      </c>
      <c r="E13" s="33">
        <v>1729360805</v>
      </c>
      <c r="F13" s="34">
        <v>8119457818448</v>
      </c>
      <c r="G13" s="35">
        <v>130306161864</v>
      </c>
      <c r="H13" s="33">
        <v>136</v>
      </c>
      <c r="I13" s="33">
        <v>136</v>
      </c>
      <c r="J13" s="28"/>
    </row>
    <row r="14" spans="1:15" s="29" customFormat="1" ht="17.25" x14ac:dyDescent="0.25">
      <c r="A14" s="39">
        <v>13</v>
      </c>
      <c r="B14" s="31" t="s">
        <v>4316</v>
      </c>
      <c r="C14" s="31" t="s">
        <v>4317</v>
      </c>
      <c r="D14" s="32" t="s">
        <v>296</v>
      </c>
      <c r="E14" s="33">
        <v>1735301645</v>
      </c>
      <c r="F14" s="34">
        <v>1030832248</v>
      </c>
      <c r="G14" s="35"/>
      <c r="H14" s="33">
        <v>38</v>
      </c>
      <c r="I14" s="33">
        <v>38</v>
      </c>
      <c r="J14" s="28"/>
    </row>
    <row r="15" spans="1:15" s="29" customFormat="1" ht="17.25" x14ac:dyDescent="0.25">
      <c r="A15" s="39">
        <v>14</v>
      </c>
      <c r="B15" s="31" t="s">
        <v>4318</v>
      </c>
      <c r="C15" s="31" t="s">
        <v>4319</v>
      </c>
      <c r="D15" s="32" t="s">
        <v>296</v>
      </c>
      <c r="E15" s="33">
        <v>1768856998</v>
      </c>
      <c r="F15" s="34" t="s">
        <v>4386</v>
      </c>
      <c r="G15" s="35"/>
      <c r="H15" s="33">
        <v>72</v>
      </c>
      <c r="I15" s="33">
        <v>72</v>
      </c>
      <c r="J15" s="28"/>
    </row>
    <row r="16" spans="1:15" s="29" customFormat="1" ht="17.25" x14ac:dyDescent="0.25">
      <c r="A16" s="39">
        <v>15</v>
      </c>
      <c r="B16" s="31" t="s">
        <v>4320</v>
      </c>
      <c r="C16" s="31" t="s">
        <v>4321</v>
      </c>
      <c r="D16" s="32" t="s">
        <v>296</v>
      </c>
      <c r="E16" s="33">
        <v>1738683158</v>
      </c>
      <c r="F16" s="34">
        <v>8119457818444</v>
      </c>
      <c r="G16" s="35">
        <v>130306161863</v>
      </c>
      <c r="H16" s="33">
        <v>70</v>
      </c>
      <c r="I16" s="33">
        <v>70</v>
      </c>
      <c r="J16" s="28"/>
    </row>
    <row r="17" spans="1:10" s="29" customFormat="1" ht="17.25" x14ac:dyDescent="0.25">
      <c r="A17" s="39">
        <v>16</v>
      </c>
      <c r="B17" s="31" t="s">
        <v>4296</v>
      </c>
      <c r="C17" s="31" t="s">
        <v>4322</v>
      </c>
      <c r="D17" s="32" t="s">
        <v>296</v>
      </c>
      <c r="E17" s="33">
        <v>1733515025</v>
      </c>
      <c r="F17" s="34">
        <v>6429640037</v>
      </c>
      <c r="G17" s="35">
        <v>130306161860</v>
      </c>
      <c r="H17" s="33">
        <v>114</v>
      </c>
      <c r="I17" s="33">
        <v>114</v>
      </c>
      <c r="J17" s="28"/>
    </row>
    <row r="18" spans="1:10" s="29" customFormat="1" ht="17.25" x14ac:dyDescent="0.25">
      <c r="A18" s="39">
        <v>17</v>
      </c>
      <c r="B18" s="31" t="s">
        <v>4323</v>
      </c>
      <c r="C18" s="31" t="s">
        <v>4321</v>
      </c>
      <c r="D18" s="32" t="s">
        <v>296</v>
      </c>
      <c r="E18" s="33">
        <v>1734275401</v>
      </c>
      <c r="F18" s="34">
        <v>8119457818426</v>
      </c>
      <c r="G18" s="35">
        <v>130306161861</v>
      </c>
      <c r="H18" s="31">
        <v>115</v>
      </c>
      <c r="I18" s="31">
        <v>115</v>
      </c>
      <c r="J18" s="28"/>
    </row>
    <row r="19" spans="1:10" s="29" customFormat="1" ht="17.25" x14ac:dyDescent="0.25">
      <c r="A19" s="39">
        <v>18</v>
      </c>
      <c r="B19" s="31" t="s">
        <v>4324</v>
      </c>
      <c r="C19" s="31" t="s">
        <v>4325</v>
      </c>
      <c r="D19" s="32" t="s">
        <v>296</v>
      </c>
      <c r="E19" s="33">
        <v>1768817965</v>
      </c>
      <c r="F19" s="34">
        <v>8119457818414</v>
      </c>
      <c r="G19" s="35">
        <v>130306161826</v>
      </c>
      <c r="H19" s="31">
        <v>36</v>
      </c>
      <c r="I19" s="31">
        <v>36</v>
      </c>
      <c r="J19" s="28"/>
    </row>
    <row r="20" spans="1:10" s="29" customFormat="1" ht="31.5" x14ac:dyDescent="0.25">
      <c r="A20" s="39">
        <v>19</v>
      </c>
      <c r="B20" s="31" t="s">
        <v>4326</v>
      </c>
      <c r="C20" s="31" t="s">
        <v>4327</v>
      </c>
      <c r="D20" s="32" t="s">
        <v>296</v>
      </c>
      <c r="E20" s="33">
        <v>1705277077</v>
      </c>
      <c r="F20" s="34">
        <v>8119457818445</v>
      </c>
      <c r="G20" s="35">
        <v>130306161830</v>
      </c>
      <c r="H20" s="31">
        <v>140</v>
      </c>
      <c r="I20" s="31">
        <v>140</v>
      </c>
      <c r="J20" s="28"/>
    </row>
    <row r="21" spans="1:10" s="29" customFormat="1" ht="17.25" x14ac:dyDescent="0.25">
      <c r="A21" s="39">
        <v>20</v>
      </c>
      <c r="B21" s="31" t="s">
        <v>4328</v>
      </c>
      <c r="C21" s="31" t="s">
        <v>4329</v>
      </c>
      <c r="D21" s="32" t="s">
        <v>296</v>
      </c>
      <c r="E21" s="33">
        <v>1650224772</v>
      </c>
      <c r="F21" s="34">
        <v>8119457818402</v>
      </c>
      <c r="G21" s="35">
        <v>130306161857</v>
      </c>
      <c r="H21" s="31">
        <v>89</v>
      </c>
      <c r="I21" s="31">
        <v>89</v>
      </c>
      <c r="J21" s="28"/>
    </row>
    <row r="22" spans="1:10" s="29" customFormat="1" ht="31.5" x14ac:dyDescent="0.25">
      <c r="A22" s="39">
        <v>21</v>
      </c>
      <c r="B22" s="31" t="s">
        <v>4330</v>
      </c>
      <c r="C22" s="31" t="s">
        <v>4331</v>
      </c>
      <c r="D22" s="32" t="s">
        <v>296</v>
      </c>
      <c r="E22" s="33">
        <v>1729190011</v>
      </c>
      <c r="F22" s="34">
        <v>8119457818401</v>
      </c>
      <c r="G22" s="35">
        <v>130306161824</v>
      </c>
      <c r="H22" s="31">
        <v>76</v>
      </c>
      <c r="I22" s="31">
        <v>76</v>
      </c>
      <c r="J22" s="28"/>
    </row>
    <row r="23" spans="1:10" s="29" customFormat="1" ht="17.25" x14ac:dyDescent="0.25">
      <c r="A23" s="39">
        <v>22</v>
      </c>
      <c r="B23" s="36" t="s">
        <v>4332</v>
      </c>
      <c r="C23" s="36" t="s">
        <v>4331</v>
      </c>
      <c r="D23" s="32" t="s">
        <v>296</v>
      </c>
      <c r="E23" s="37">
        <v>1780909931</v>
      </c>
      <c r="F23" s="34">
        <v>8119457818406</v>
      </c>
      <c r="G23" s="35">
        <v>130306161825</v>
      </c>
      <c r="H23" s="36">
        <v>37</v>
      </c>
      <c r="I23" s="36">
        <v>37</v>
      </c>
      <c r="J23" s="28"/>
    </row>
    <row r="24" spans="1:10" s="29" customFormat="1" ht="31.5" x14ac:dyDescent="0.25">
      <c r="A24" s="39">
        <v>23</v>
      </c>
      <c r="B24" s="36" t="s">
        <v>4333</v>
      </c>
      <c r="C24" s="36" t="s">
        <v>4321</v>
      </c>
      <c r="D24" s="32" t="s">
        <v>296</v>
      </c>
      <c r="E24" s="37">
        <v>1770300514</v>
      </c>
      <c r="F24" s="34">
        <v>8119457818452</v>
      </c>
      <c r="G24" s="35">
        <v>130306161865</v>
      </c>
      <c r="H24" s="36">
        <v>168</v>
      </c>
      <c r="I24" s="36">
        <v>168</v>
      </c>
      <c r="J24" s="28"/>
    </row>
    <row r="25" spans="1:10" s="29" customFormat="1" ht="31.5" x14ac:dyDescent="0.25">
      <c r="A25" s="39">
        <v>24</v>
      </c>
      <c r="B25" s="36" t="s">
        <v>4334</v>
      </c>
      <c r="C25" s="36" t="s">
        <v>4335</v>
      </c>
      <c r="D25" s="32" t="s">
        <v>296</v>
      </c>
      <c r="E25" s="37">
        <v>1752127446</v>
      </c>
      <c r="F25" s="34">
        <v>8119457818400</v>
      </c>
      <c r="G25" s="35">
        <v>130306161819</v>
      </c>
      <c r="H25" s="36">
        <v>89</v>
      </c>
      <c r="I25" s="36">
        <v>89</v>
      </c>
      <c r="J25" s="28"/>
    </row>
    <row r="26" spans="1:10" s="29" customFormat="1" x14ac:dyDescent="0.25">
      <c r="A26" s="39">
        <v>25</v>
      </c>
      <c r="B26" s="36" t="s">
        <v>4336</v>
      </c>
      <c r="C26" s="36" t="s">
        <v>4337</v>
      </c>
      <c r="D26" s="32" t="s">
        <v>296</v>
      </c>
      <c r="E26" s="37">
        <v>1744812800</v>
      </c>
      <c r="F26" s="34">
        <v>8119457818404</v>
      </c>
      <c r="G26" s="35">
        <v>130306161820</v>
      </c>
      <c r="H26" s="36">
        <v>89</v>
      </c>
      <c r="I26" s="36">
        <v>89</v>
      </c>
      <c r="J26" s="30"/>
    </row>
    <row r="27" spans="1:10" s="29" customFormat="1" x14ac:dyDescent="0.25">
      <c r="A27" s="39">
        <v>26</v>
      </c>
      <c r="B27" s="36" t="s">
        <v>4338</v>
      </c>
      <c r="C27" s="36" t="s">
        <v>4339</v>
      </c>
      <c r="D27" s="32" t="s">
        <v>296</v>
      </c>
      <c r="E27" s="37">
        <v>1834578666</v>
      </c>
      <c r="F27" s="34">
        <v>1.99581194570001E+16</v>
      </c>
      <c r="G27" s="35"/>
      <c r="H27" s="36">
        <v>102</v>
      </c>
      <c r="I27" s="36">
        <v>102</v>
      </c>
      <c r="J27" s="30"/>
    </row>
    <row r="28" spans="1:10" s="29" customFormat="1" ht="31.5" x14ac:dyDescent="0.25">
      <c r="A28" s="39">
        <v>27</v>
      </c>
      <c r="B28" s="36" t="s">
        <v>4340</v>
      </c>
      <c r="C28" s="36" t="s">
        <v>4327</v>
      </c>
      <c r="D28" s="32" t="s">
        <v>296</v>
      </c>
      <c r="E28" s="37">
        <v>1706557375</v>
      </c>
      <c r="F28" s="34">
        <v>8119457818423</v>
      </c>
      <c r="G28" s="35">
        <v>130306161850</v>
      </c>
      <c r="H28" s="36">
        <v>49</v>
      </c>
      <c r="I28" s="36">
        <v>49</v>
      </c>
      <c r="J28" s="30"/>
    </row>
    <row r="29" spans="1:10" s="29" customFormat="1" ht="31.5" x14ac:dyDescent="0.25">
      <c r="A29" s="39">
        <v>28</v>
      </c>
      <c r="B29" s="36" t="s">
        <v>4341</v>
      </c>
      <c r="C29" s="36" t="s">
        <v>4342</v>
      </c>
      <c r="D29" s="32" t="s">
        <v>296</v>
      </c>
      <c r="E29" s="37">
        <v>1726813513</v>
      </c>
      <c r="F29" s="34">
        <v>8119457818396</v>
      </c>
      <c r="G29" s="35">
        <v>130306161857</v>
      </c>
      <c r="H29" s="36">
        <v>47</v>
      </c>
      <c r="I29" s="36">
        <v>47</v>
      </c>
      <c r="J29" s="30"/>
    </row>
    <row r="30" spans="1:10" s="29" customFormat="1" x14ac:dyDescent="0.25">
      <c r="A30" s="39">
        <v>29</v>
      </c>
      <c r="B30" s="36" t="s">
        <v>4343</v>
      </c>
      <c r="C30" s="36" t="s">
        <v>4344</v>
      </c>
      <c r="D30" s="32" t="s">
        <v>296</v>
      </c>
      <c r="E30" s="37">
        <v>1726813513</v>
      </c>
      <c r="F30" s="34" t="s">
        <v>4380</v>
      </c>
      <c r="G30" s="35"/>
      <c r="H30" s="36">
        <v>37</v>
      </c>
      <c r="I30" s="36">
        <v>37</v>
      </c>
      <c r="J30" s="30"/>
    </row>
    <row r="31" spans="1:10" s="29" customFormat="1" x14ac:dyDescent="0.25">
      <c r="A31" s="39">
        <v>30</v>
      </c>
      <c r="B31" s="36" t="s">
        <v>4344</v>
      </c>
      <c r="C31" s="36" t="s">
        <v>4345</v>
      </c>
      <c r="D31" s="32" t="s">
        <v>296</v>
      </c>
      <c r="E31" s="37">
        <v>1738516908</v>
      </c>
      <c r="F31" s="34">
        <v>8119457818410</v>
      </c>
      <c r="G31" s="35">
        <v>130306161821</v>
      </c>
      <c r="H31" s="36">
        <v>132</v>
      </c>
      <c r="I31" s="36">
        <v>132</v>
      </c>
      <c r="J31" s="30"/>
    </row>
    <row r="32" spans="1:10" s="29" customFormat="1" ht="31.5" x14ac:dyDescent="0.25">
      <c r="A32" s="39">
        <v>31</v>
      </c>
      <c r="B32" s="36" t="s">
        <v>4346</v>
      </c>
      <c r="C32" s="36" t="s">
        <v>4347</v>
      </c>
      <c r="D32" s="32" t="s">
        <v>296</v>
      </c>
      <c r="E32" s="37">
        <v>1726810146</v>
      </c>
      <c r="F32" s="34">
        <v>8119457818394</v>
      </c>
      <c r="G32" s="35">
        <v>130306161823</v>
      </c>
      <c r="H32" s="36">
        <v>147</v>
      </c>
      <c r="I32" s="36">
        <v>147</v>
      </c>
      <c r="J32" s="30"/>
    </row>
    <row r="33" spans="1:10" s="29" customFormat="1" x14ac:dyDescent="0.25">
      <c r="A33" s="39">
        <v>32</v>
      </c>
      <c r="B33" s="36" t="s">
        <v>4348</v>
      </c>
      <c r="C33" s="38" t="s">
        <v>4349</v>
      </c>
      <c r="D33" s="32" t="s">
        <v>296</v>
      </c>
      <c r="E33" s="37">
        <v>1878351664</v>
      </c>
      <c r="F33" s="34">
        <v>8119457818621</v>
      </c>
      <c r="G33" s="35">
        <v>130306161808</v>
      </c>
      <c r="H33" s="36">
        <v>11</v>
      </c>
      <c r="I33" s="36">
        <v>11</v>
      </c>
      <c r="J33" s="30"/>
    </row>
    <row r="34" spans="1:10" s="29" customFormat="1" x14ac:dyDescent="0.25">
      <c r="A34" s="39">
        <v>33</v>
      </c>
      <c r="B34" s="31" t="s">
        <v>4339</v>
      </c>
      <c r="C34" s="31" t="s">
        <v>4331</v>
      </c>
      <c r="D34" s="32" t="s">
        <v>296</v>
      </c>
      <c r="E34" s="33">
        <v>1740432976</v>
      </c>
      <c r="F34" s="34">
        <v>8119457818428</v>
      </c>
      <c r="G34" s="35">
        <v>130306161828</v>
      </c>
      <c r="H34" s="31">
        <v>164</v>
      </c>
      <c r="I34" s="31">
        <v>164</v>
      </c>
      <c r="J34" s="30"/>
    </row>
    <row r="35" spans="1:10" s="29" customFormat="1" x14ac:dyDescent="0.25">
      <c r="A35" s="39">
        <v>34</v>
      </c>
      <c r="B35" s="31" t="s">
        <v>4350</v>
      </c>
      <c r="C35" s="31" t="s">
        <v>4331</v>
      </c>
      <c r="D35" s="32" t="s">
        <v>296</v>
      </c>
      <c r="E35" s="33">
        <v>1761240184</v>
      </c>
      <c r="F35" s="34">
        <v>8119457818434</v>
      </c>
      <c r="G35" s="35">
        <v>130306161862</v>
      </c>
      <c r="H35" s="31">
        <v>16</v>
      </c>
      <c r="I35" s="31">
        <v>16</v>
      </c>
      <c r="J35" s="30"/>
    </row>
    <row r="36" spans="1:10" s="29" customFormat="1" x14ac:dyDescent="0.25">
      <c r="A36" s="39">
        <v>35</v>
      </c>
      <c r="B36" s="31" t="s">
        <v>4351</v>
      </c>
      <c r="C36" s="31" t="s">
        <v>4352</v>
      </c>
      <c r="D36" s="32" t="s">
        <v>296</v>
      </c>
      <c r="E36" s="33">
        <v>1741240184</v>
      </c>
      <c r="F36" s="34">
        <v>8119457818964</v>
      </c>
      <c r="G36" s="35"/>
      <c r="H36" s="31">
        <v>26</v>
      </c>
      <c r="I36" s="31">
        <v>26</v>
      </c>
      <c r="J36" s="30"/>
    </row>
    <row r="37" spans="1:10" s="29" customFormat="1" ht="31.5" x14ac:dyDescent="0.25">
      <c r="A37" s="39">
        <v>36</v>
      </c>
      <c r="B37" s="31" t="s">
        <v>4353</v>
      </c>
      <c r="C37" s="31" t="s">
        <v>4354</v>
      </c>
      <c r="D37" s="32" t="s">
        <v>296</v>
      </c>
      <c r="E37" s="33">
        <v>1739614808</v>
      </c>
      <c r="F37" s="34">
        <v>8119457818430</v>
      </c>
      <c r="G37" s="35">
        <v>130306161851</v>
      </c>
      <c r="H37" s="31">
        <v>247</v>
      </c>
      <c r="I37" s="31">
        <v>247</v>
      </c>
      <c r="J37" s="30"/>
    </row>
    <row r="38" spans="1:10" s="29" customFormat="1" ht="31.5" x14ac:dyDescent="0.25">
      <c r="A38" s="39">
        <v>37</v>
      </c>
      <c r="B38" s="31" t="s">
        <v>4355</v>
      </c>
      <c r="C38" s="31" t="s">
        <v>4356</v>
      </c>
      <c r="D38" s="32" t="s">
        <v>296</v>
      </c>
      <c r="E38" s="33">
        <v>1771333512</v>
      </c>
      <c r="F38" s="34" t="s">
        <v>4381</v>
      </c>
      <c r="G38" s="35"/>
      <c r="H38" s="31">
        <v>132</v>
      </c>
      <c r="I38" s="31">
        <v>132</v>
      </c>
      <c r="J38" s="30"/>
    </row>
    <row r="39" spans="1:10" s="29" customFormat="1" x14ac:dyDescent="0.25">
      <c r="A39" s="39">
        <v>38</v>
      </c>
      <c r="B39" s="31" t="s">
        <v>4357</v>
      </c>
      <c r="C39" s="31" t="s">
        <v>4358</v>
      </c>
      <c r="D39" s="32" t="s">
        <v>296</v>
      </c>
      <c r="E39" s="33">
        <v>1738836854</v>
      </c>
      <c r="F39" s="34" t="s">
        <v>4382</v>
      </c>
      <c r="G39" s="35"/>
      <c r="H39" s="31">
        <v>37</v>
      </c>
      <c r="I39" s="31">
        <v>37</v>
      </c>
      <c r="J39" s="30"/>
    </row>
    <row r="40" spans="1:10" s="29" customFormat="1" x14ac:dyDescent="0.25">
      <c r="A40" s="39">
        <v>39</v>
      </c>
      <c r="B40" s="31" t="s">
        <v>4359</v>
      </c>
      <c r="C40" s="31" t="s">
        <v>4360</v>
      </c>
      <c r="D40" s="32" t="s">
        <v>296</v>
      </c>
      <c r="E40" s="33">
        <v>1795544437</v>
      </c>
      <c r="F40" s="34">
        <v>7804521479</v>
      </c>
      <c r="G40" s="35"/>
      <c r="H40" s="31">
        <v>272</v>
      </c>
      <c r="I40" s="31">
        <v>272</v>
      </c>
      <c r="J40" s="30"/>
    </row>
    <row r="41" spans="1:10" s="29" customFormat="1" x14ac:dyDescent="0.25">
      <c r="A41" s="39">
        <v>40</v>
      </c>
      <c r="B41" s="31" t="s">
        <v>4361</v>
      </c>
      <c r="C41" s="31" t="s">
        <v>4347</v>
      </c>
      <c r="D41" s="32" t="s">
        <v>296</v>
      </c>
      <c r="E41" s="33">
        <v>1719996539</v>
      </c>
      <c r="F41" s="34">
        <v>8119457818391</v>
      </c>
      <c r="G41" s="35">
        <v>130306161818</v>
      </c>
      <c r="H41" s="31">
        <v>45</v>
      </c>
      <c r="I41" s="31">
        <v>45</v>
      </c>
      <c r="J41" s="30"/>
    </row>
    <row r="42" spans="1:10" s="29" customFormat="1" x14ac:dyDescent="0.25">
      <c r="A42" s="39">
        <v>41</v>
      </c>
      <c r="B42" s="31" t="s">
        <v>4362</v>
      </c>
      <c r="C42" s="31" t="s">
        <v>4363</v>
      </c>
      <c r="D42" s="32" t="s">
        <v>296</v>
      </c>
      <c r="E42" s="33">
        <v>1850064948</v>
      </c>
      <c r="F42" s="34">
        <v>5076117174</v>
      </c>
      <c r="G42" s="35"/>
      <c r="H42" s="31"/>
      <c r="I42" s="31"/>
      <c r="J42" s="30"/>
    </row>
    <row r="43" spans="1:10" s="29" customFormat="1" x14ac:dyDescent="0.25">
      <c r="A43" s="39">
        <v>42</v>
      </c>
      <c r="B43" s="31" t="s">
        <v>4364</v>
      </c>
      <c r="C43" s="31"/>
      <c r="D43" s="32" t="s">
        <v>296</v>
      </c>
      <c r="E43" s="33">
        <v>1744746890</v>
      </c>
      <c r="F43" s="34">
        <v>8119457818389</v>
      </c>
      <c r="G43" s="35">
        <v>130306161899</v>
      </c>
      <c r="H43" s="31">
        <v>102</v>
      </c>
      <c r="I43" s="31">
        <v>102</v>
      </c>
      <c r="J43" s="30"/>
    </row>
    <row r="44" spans="1:10" s="29" customFormat="1" x14ac:dyDescent="0.25">
      <c r="A44" s="39">
        <v>43</v>
      </c>
      <c r="B44" s="31" t="s">
        <v>4290</v>
      </c>
      <c r="C44" s="31" t="s">
        <v>4365</v>
      </c>
      <c r="D44" s="32" t="s">
        <v>296</v>
      </c>
      <c r="E44" s="33">
        <v>1786889483</v>
      </c>
      <c r="F44" s="34" t="s">
        <v>4383</v>
      </c>
      <c r="G44" s="35"/>
      <c r="H44" s="31">
        <v>102</v>
      </c>
      <c r="I44" s="31">
        <v>102</v>
      </c>
      <c r="J44" s="30"/>
    </row>
    <row r="45" spans="1:10" s="29" customFormat="1" x14ac:dyDescent="0.25">
      <c r="A45" s="39">
        <v>44</v>
      </c>
      <c r="B45" s="31" t="s">
        <v>4366</v>
      </c>
      <c r="C45" s="31" t="s">
        <v>4367</v>
      </c>
      <c r="D45" s="32" t="s">
        <v>296</v>
      </c>
      <c r="E45" s="33">
        <v>1735228711</v>
      </c>
      <c r="F45" s="34">
        <v>8119457818387</v>
      </c>
      <c r="G45" s="35">
        <v>130306161822</v>
      </c>
      <c r="H45" s="31">
        <v>137</v>
      </c>
      <c r="I45" s="31">
        <v>137</v>
      </c>
      <c r="J45" s="30"/>
    </row>
    <row r="46" spans="1:10" s="29" customFormat="1" x14ac:dyDescent="0.25">
      <c r="A46" s="39">
        <v>45</v>
      </c>
      <c r="B46" s="31" t="s">
        <v>4368</v>
      </c>
      <c r="C46" s="31" t="s">
        <v>4366</v>
      </c>
      <c r="D46" s="32" t="s">
        <v>296</v>
      </c>
      <c r="E46" s="33">
        <v>1744746890</v>
      </c>
      <c r="F46" s="34" t="s">
        <v>4384</v>
      </c>
      <c r="G46" s="35"/>
      <c r="H46" s="31"/>
      <c r="I46" s="31"/>
      <c r="J46" s="30"/>
    </row>
    <row r="47" spans="1:10" s="29" customFormat="1" x14ac:dyDescent="0.25">
      <c r="A47" s="39">
        <v>46</v>
      </c>
      <c r="B47" s="31" t="s">
        <v>4369</v>
      </c>
      <c r="C47" s="31" t="s">
        <v>4370</v>
      </c>
      <c r="D47" s="32" t="s">
        <v>296</v>
      </c>
      <c r="E47" s="33">
        <v>1744746890</v>
      </c>
      <c r="F47" s="34">
        <v>8119457818450</v>
      </c>
      <c r="G47" s="35">
        <v>130306161701</v>
      </c>
      <c r="H47" s="31">
        <v>132</v>
      </c>
      <c r="I47" s="31">
        <v>132</v>
      </c>
      <c r="J47" s="30"/>
    </row>
    <row r="48" spans="1:10" s="29" customFormat="1" x14ac:dyDescent="0.25">
      <c r="A48" s="39">
        <v>47</v>
      </c>
      <c r="B48" s="31" t="s">
        <v>4371</v>
      </c>
      <c r="C48" s="31" t="s">
        <v>4372</v>
      </c>
      <c r="D48" s="32" t="s">
        <v>296</v>
      </c>
      <c r="E48" s="33">
        <v>1744746890</v>
      </c>
      <c r="F48" s="34">
        <v>8119457818439</v>
      </c>
      <c r="G48" s="35">
        <v>130306161852</v>
      </c>
      <c r="H48" s="31">
        <v>82</v>
      </c>
      <c r="I48" s="31">
        <v>82</v>
      </c>
      <c r="J48" s="30"/>
    </row>
    <row r="49" spans="1:10" s="29" customFormat="1" x14ac:dyDescent="0.25">
      <c r="A49" s="39">
        <v>48</v>
      </c>
      <c r="B49" s="31" t="s">
        <v>4302</v>
      </c>
      <c r="C49" s="31" t="s">
        <v>4373</v>
      </c>
      <c r="D49" s="32" t="s">
        <v>296</v>
      </c>
      <c r="E49" s="33">
        <v>1744746890</v>
      </c>
      <c r="F49" s="34">
        <v>8119457818453</v>
      </c>
      <c r="G49" s="35">
        <v>130306161849</v>
      </c>
      <c r="H49" s="31">
        <v>330</v>
      </c>
      <c r="I49" s="31">
        <v>330</v>
      </c>
      <c r="J49" s="30"/>
    </row>
    <row r="50" spans="1:10" x14ac:dyDescent="0.25">
      <c r="A50" s="39">
        <v>49</v>
      </c>
      <c r="B50" s="3" t="s">
        <v>1549</v>
      </c>
      <c r="C50" s="75" t="s">
        <v>1550</v>
      </c>
      <c r="D50" s="75" t="s">
        <v>296</v>
      </c>
      <c r="E50" s="75" t="str">
        <f t="shared" ref="E50:E69" si="0">"০"</f>
        <v>০</v>
      </c>
      <c r="F50" s="22" t="str">
        <f>"8119457818417"</f>
        <v>8119457818417</v>
      </c>
      <c r="G50" s="75" t="str">
        <f>"১৩০৩০৬১৬১৮৬০"</f>
        <v>১৩০৩০৬১৬১৮৬০</v>
      </c>
      <c r="H50" s="75" t="s">
        <v>315</v>
      </c>
      <c r="I50" s="75" t="s">
        <v>315</v>
      </c>
      <c r="J50" s="4"/>
    </row>
    <row r="51" spans="1:10" x14ac:dyDescent="0.25">
      <c r="A51" s="39">
        <v>50</v>
      </c>
      <c r="B51" s="3" t="s">
        <v>1551</v>
      </c>
      <c r="C51" s="75" t="s">
        <v>1552</v>
      </c>
      <c r="D51" s="75" t="s">
        <v>296</v>
      </c>
      <c r="E51" s="75" t="str">
        <f t="shared" si="0"/>
        <v>০</v>
      </c>
      <c r="F51" s="22" t="str">
        <f>"8119457818408"</f>
        <v>8119457818408</v>
      </c>
      <c r="G51" s="75" t="str">
        <f>"১৩০৩০৬১৬১৮৫৯"</f>
        <v>১৩০৩০৬১৬১৮৫৯</v>
      </c>
      <c r="H51" s="75" t="s">
        <v>313</v>
      </c>
      <c r="I51" s="75" t="s">
        <v>313</v>
      </c>
      <c r="J51" s="4"/>
    </row>
    <row r="52" spans="1:10" x14ac:dyDescent="0.25">
      <c r="A52" s="39">
        <v>51</v>
      </c>
      <c r="B52" s="3" t="s">
        <v>1555</v>
      </c>
      <c r="C52" s="75" t="s">
        <v>1556</v>
      </c>
      <c r="D52" s="75" t="s">
        <v>296</v>
      </c>
      <c r="E52" s="75" t="str">
        <f t="shared" si="0"/>
        <v>০</v>
      </c>
      <c r="F52" s="22" t="str">
        <f>"8119457818390"</f>
        <v>8119457818390</v>
      </c>
      <c r="G52" s="75" t="str">
        <f>"১৩০৩০৬১৬১৮৫৬"</f>
        <v>১৩০৩০৬১৬১৮৫৬</v>
      </c>
      <c r="H52" s="75" t="s">
        <v>322</v>
      </c>
      <c r="I52" s="75" t="s">
        <v>322</v>
      </c>
      <c r="J52" s="4"/>
    </row>
    <row r="53" spans="1:10" x14ac:dyDescent="0.25">
      <c r="A53" s="39">
        <v>52</v>
      </c>
      <c r="B53" s="3" t="s">
        <v>1557</v>
      </c>
      <c r="C53" s="75" t="s">
        <v>1558</v>
      </c>
      <c r="D53" s="75" t="s">
        <v>296</v>
      </c>
      <c r="E53" s="75" t="str">
        <f t="shared" si="0"/>
        <v>০</v>
      </c>
      <c r="F53" s="22" t="str">
        <f>"8119457818455"</f>
        <v>8119457818455</v>
      </c>
      <c r="G53" s="75" t="str">
        <f>"১৩০৩০৬১৬১৮৫৫"</f>
        <v>১৩০৩০৬১৬১৮৫৫</v>
      </c>
      <c r="H53" s="75" t="s">
        <v>314</v>
      </c>
      <c r="I53" s="75" t="s">
        <v>314</v>
      </c>
      <c r="J53" s="4"/>
    </row>
    <row r="54" spans="1:10" x14ac:dyDescent="0.25">
      <c r="A54" s="39">
        <v>53</v>
      </c>
      <c r="B54" s="3" t="s">
        <v>1560</v>
      </c>
      <c r="C54" s="75" t="s">
        <v>1561</v>
      </c>
      <c r="D54" s="75" t="s">
        <v>296</v>
      </c>
      <c r="E54" s="75" t="str">
        <f t="shared" si="0"/>
        <v>০</v>
      </c>
      <c r="F54" s="22" t="str">
        <f>"8119457818446"</f>
        <v>8119457818446</v>
      </c>
      <c r="G54" s="75" t="str">
        <f>"১৩০৩০৬১৬১৮৫৩"</f>
        <v>১৩০৩০৬১৬১৮৫৩</v>
      </c>
      <c r="H54" s="75" t="s">
        <v>324</v>
      </c>
      <c r="I54" s="75" t="s">
        <v>324</v>
      </c>
      <c r="J54" s="4"/>
    </row>
    <row r="55" spans="1:10" x14ac:dyDescent="0.25">
      <c r="A55" s="39">
        <v>54</v>
      </c>
      <c r="B55" s="3" t="s">
        <v>1563</v>
      </c>
      <c r="C55" s="75" t="s">
        <v>1547</v>
      </c>
      <c r="D55" s="75" t="s">
        <v>296</v>
      </c>
      <c r="E55" s="75" t="str">
        <f t="shared" si="0"/>
        <v>০</v>
      </c>
      <c r="F55" s="22" t="str">
        <f>"8119457819334"</f>
        <v>8119457819334</v>
      </c>
      <c r="G55" s="75" t="str">
        <f>"১৩০৩০৬১৬১৮৪৮"</f>
        <v>১৩০৩০৬১৬১৮৪৮</v>
      </c>
      <c r="H55" s="75" t="s">
        <v>328</v>
      </c>
      <c r="I55" s="75" t="s">
        <v>328</v>
      </c>
      <c r="J55" s="4"/>
    </row>
    <row r="56" spans="1:10" x14ac:dyDescent="0.25">
      <c r="A56" s="39">
        <v>55</v>
      </c>
      <c r="B56" s="3" t="s">
        <v>1566</v>
      </c>
      <c r="C56" s="75" t="s">
        <v>1567</v>
      </c>
      <c r="D56" s="75" t="s">
        <v>296</v>
      </c>
      <c r="E56" s="75" t="str">
        <f t="shared" si="0"/>
        <v>০</v>
      </c>
      <c r="F56" s="22" t="str">
        <f>"8119457818438"</f>
        <v>8119457818438</v>
      </c>
      <c r="G56" s="75" t="str">
        <f>"১৩০৩০৬১৬১৮২৯"</f>
        <v>১৩০৩০৬১৬১৮২৯</v>
      </c>
      <c r="H56" s="75" t="s">
        <v>319</v>
      </c>
      <c r="I56" s="75" t="s">
        <v>319</v>
      </c>
      <c r="J56" s="4"/>
    </row>
    <row r="57" spans="1:10" x14ac:dyDescent="0.25">
      <c r="A57" s="39">
        <v>56</v>
      </c>
      <c r="B57" s="3" t="s">
        <v>1543</v>
      </c>
      <c r="C57" s="75" t="s">
        <v>1567</v>
      </c>
      <c r="D57" s="75" t="s">
        <v>296</v>
      </c>
      <c r="E57" s="75" t="str">
        <f t="shared" si="0"/>
        <v>০</v>
      </c>
      <c r="F57" s="22" t="str">
        <f>"8119457818421"</f>
        <v>8119457818421</v>
      </c>
      <c r="G57" s="75" t="str">
        <f>"১৩০৩০৬১৬১৮২৭"</f>
        <v>১৩০৩০৬১৬১৮২৭</v>
      </c>
      <c r="H57" s="75" t="s">
        <v>323</v>
      </c>
      <c r="I57" s="75" t="s">
        <v>323</v>
      </c>
      <c r="J57" s="4"/>
    </row>
    <row r="58" spans="1:10" x14ac:dyDescent="0.25">
      <c r="A58" s="39">
        <v>57</v>
      </c>
      <c r="B58" s="3" t="s">
        <v>1570</v>
      </c>
      <c r="C58" s="75" t="s">
        <v>1574</v>
      </c>
      <c r="D58" s="75" t="s">
        <v>296</v>
      </c>
      <c r="E58" s="75" t="str">
        <f t="shared" si="0"/>
        <v>০</v>
      </c>
      <c r="F58" s="22" t="str">
        <f>"8119457818385"</f>
        <v>8119457818385</v>
      </c>
      <c r="G58" s="75" t="str">
        <f>"১৩০৩০৬১৬১৮১৭"</f>
        <v>১৩০৩০৬১৬১৮১৭</v>
      </c>
      <c r="H58" s="75" t="s">
        <v>319</v>
      </c>
      <c r="I58" s="75" t="s">
        <v>319</v>
      </c>
      <c r="J58" s="4"/>
    </row>
    <row r="59" spans="1:10" x14ac:dyDescent="0.25">
      <c r="A59" s="39">
        <v>58</v>
      </c>
      <c r="B59" s="3" t="s">
        <v>1575</v>
      </c>
      <c r="C59" s="75" t="s">
        <v>1576</v>
      </c>
      <c r="D59" s="75" t="s">
        <v>297</v>
      </c>
      <c r="E59" s="75" t="str">
        <f t="shared" si="0"/>
        <v>০</v>
      </c>
      <c r="F59" s="22" t="str">
        <f>"8119457818762"</f>
        <v>8119457818762</v>
      </c>
      <c r="G59" s="75" t="str">
        <f>"১৮৪৪"</f>
        <v>১৮৪৪</v>
      </c>
      <c r="H59" s="75" t="s">
        <v>313</v>
      </c>
      <c r="I59" s="75" t="s">
        <v>313</v>
      </c>
      <c r="J59" s="4"/>
    </row>
    <row r="60" spans="1:10" x14ac:dyDescent="0.25">
      <c r="A60" s="39">
        <v>59</v>
      </c>
      <c r="B60" s="3" t="s">
        <v>1577</v>
      </c>
      <c r="C60" s="75" t="s">
        <v>1578</v>
      </c>
      <c r="D60" s="75" t="s">
        <v>297</v>
      </c>
      <c r="E60" s="75" t="str">
        <f t="shared" si="0"/>
        <v>০</v>
      </c>
      <c r="F60" s="22" t="str">
        <f>"8119457000177"</f>
        <v>8119457000177</v>
      </c>
      <c r="G60" s="75" t="str">
        <f>"১৮৪৩"</f>
        <v>১৮৪৩</v>
      </c>
      <c r="H60" s="75" t="s">
        <v>314</v>
      </c>
      <c r="I60" s="75" t="s">
        <v>314</v>
      </c>
      <c r="J60" s="4"/>
    </row>
    <row r="61" spans="1:10" x14ac:dyDescent="0.25">
      <c r="A61" s="39">
        <v>60</v>
      </c>
      <c r="B61" s="3" t="s">
        <v>1579</v>
      </c>
      <c r="C61" s="75" t="s">
        <v>1580</v>
      </c>
      <c r="D61" s="75" t="s">
        <v>297</v>
      </c>
      <c r="E61" s="75" t="str">
        <f t="shared" si="0"/>
        <v>০</v>
      </c>
      <c r="F61" s="22" t="str">
        <f>"8119457817979"</f>
        <v>8119457817979</v>
      </c>
      <c r="G61" s="75" t="str">
        <f>"১৮৪২"</f>
        <v>১৮৪২</v>
      </c>
      <c r="H61" s="75" t="s">
        <v>315</v>
      </c>
      <c r="I61" s="75" t="s">
        <v>315</v>
      </c>
      <c r="J61" s="4"/>
    </row>
    <row r="62" spans="1:10" x14ac:dyDescent="0.25">
      <c r="A62" s="39">
        <v>61</v>
      </c>
      <c r="B62" s="3" t="s">
        <v>1581</v>
      </c>
      <c r="C62" s="75" t="s">
        <v>1582</v>
      </c>
      <c r="D62" s="75" t="s">
        <v>297</v>
      </c>
      <c r="E62" s="75" t="str">
        <f t="shared" si="0"/>
        <v>০</v>
      </c>
      <c r="F62" s="22" t="str">
        <f>"8119457818354"</f>
        <v>8119457818354</v>
      </c>
      <c r="G62" s="75" t="str">
        <f>"১৮৪১"</f>
        <v>১৮৪১</v>
      </c>
      <c r="H62" s="75" t="s">
        <v>316</v>
      </c>
      <c r="I62" s="75" t="s">
        <v>316</v>
      </c>
      <c r="J62" s="4"/>
    </row>
    <row r="63" spans="1:10" x14ac:dyDescent="0.25">
      <c r="A63" s="39">
        <v>62</v>
      </c>
      <c r="B63" s="3" t="s">
        <v>1583</v>
      </c>
      <c r="C63" s="75" t="s">
        <v>1584</v>
      </c>
      <c r="D63" s="75" t="s">
        <v>297</v>
      </c>
      <c r="E63" s="75" t="str">
        <f t="shared" si="0"/>
        <v>০</v>
      </c>
      <c r="F63" s="22" t="str">
        <f>"8119457817896"</f>
        <v>8119457817896</v>
      </c>
      <c r="G63" s="75" t="str">
        <f>"১৮৪০"</f>
        <v>১৮৪০</v>
      </c>
      <c r="H63" s="75" t="s">
        <v>317</v>
      </c>
      <c r="I63" s="75" t="s">
        <v>317</v>
      </c>
      <c r="J63" s="4"/>
    </row>
    <row r="64" spans="1:10" x14ac:dyDescent="0.25">
      <c r="A64" s="39">
        <v>63</v>
      </c>
      <c r="B64" s="3" t="s">
        <v>1585</v>
      </c>
      <c r="C64" s="75" t="s">
        <v>1586</v>
      </c>
      <c r="D64" s="75" t="s">
        <v>297</v>
      </c>
      <c r="E64" s="75" t="str">
        <f t="shared" si="0"/>
        <v>০</v>
      </c>
      <c r="F64" s="22" t="str">
        <f>"8119457817945"</f>
        <v>8119457817945</v>
      </c>
      <c r="G64" s="75" t="str">
        <f>"১৮৩৯"</f>
        <v>১৮৩৯</v>
      </c>
      <c r="H64" s="75" t="s">
        <v>318</v>
      </c>
      <c r="I64" s="75" t="s">
        <v>318</v>
      </c>
      <c r="J64" s="4"/>
    </row>
    <row r="65" spans="1:10" x14ac:dyDescent="0.25">
      <c r="A65" s="39">
        <v>64</v>
      </c>
      <c r="B65" s="3" t="s">
        <v>1587</v>
      </c>
      <c r="C65" s="75" t="s">
        <v>1588</v>
      </c>
      <c r="D65" s="75" t="s">
        <v>297</v>
      </c>
      <c r="E65" s="75" t="str">
        <f t="shared" si="0"/>
        <v>০</v>
      </c>
      <c r="F65" s="22" t="str">
        <f>"8119457817947"</f>
        <v>8119457817947</v>
      </c>
      <c r="G65" s="75" t="str">
        <f>"১৮৩৮"</f>
        <v>১৮৩৮</v>
      </c>
      <c r="H65" s="75" t="s">
        <v>319</v>
      </c>
      <c r="I65" s="75" t="s">
        <v>319</v>
      </c>
      <c r="J65" s="4"/>
    </row>
    <row r="66" spans="1:10" x14ac:dyDescent="0.25">
      <c r="A66" s="39">
        <v>65</v>
      </c>
      <c r="B66" s="3" t="s">
        <v>1589</v>
      </c>
      <c r="C66" s="75" t="s">
        <v>1590</v>
      </c>
      <c r="D66" s="75" t="s">
        <v>297</v>
      </c>
      <c r="E66" s="75" t="str">
        <f t="shared" si="0"/>
        <v>০</v>
      </c>
      <c r="F66" s="22" t="str">
        <f>"8119457819152"</f>
        <v>8119457819152</v>
      </c>
      <c r="G66" s="75" t="str">
        <f>"১৮৩৭"</f>
        <v>১৮৩৭</v>
      </c>
      <c r="H66" s="75" t="s">
        <v>320</v>
      </c>
      <c r="I66" s="75" t="s">
        <v>320</v>
      </c>
      <c r="J66" s="4"/>
    </row>
    <row r="67" spans="1:10" x14ac:dyDescent="0.25">
      <c r="A67" s="39">
        <v>66</v>
      </c>
      <c r="B67" s="3" t="s">
        <v>1591</v>
      </c>
      <c r="C67" s="75" t="s">
        <v>1592</v>
      </c>
      <c r="D67" s="75" t="s">
        <v>297</v>
      </c>
      <c r="E67" s="75" t="str">
        <f t="shared" si="0"/>
        <v>০</v>
      </c>
      <c r="F67" s="22" t="str">
        <f>"8119457000074"</f>
        <v>8119457000074</v>
      </c>
      <c r="G67" s="75" t="str">
        <f>"১৮৩৬"</f>
        <v>১৮৩৬</v>
      </c>
      <c r="H67" s="75" t="s">
        <v>315</v>
      </c>
      <c r="I67" s="75" t="s">
        <v>315</v>
      </c>
      <c r="J67" s="4"/>
    </row>
    <row r="68" spans="1:10" x14ac:dyDescent="0.25">
      <c r="A68" s="39">
        <v>67</v>
      </c>
      <c r="B68" s="3" t="s">
        <v>1593</v>
      </c>
      <c r="C68" s="75" t="s">
        <v>1594</v>
      </c>
      <c r="D68" s="75" t="s">
        <v>297</v>
      </c>
      <c r="E68" s="75" t="str">
        <f t="shared" si="0"/>
        <v>০</v>
      </c>
      <c r="F68" s="22" t="str">
        <f>"8119457819278"</f>
        <v>8119457819278</v>
      </c>
      <c r="G68" s="75" t="str">
        <f>"১৮৩৫"</f>
        <v>১৮৩৫</v>
      </c>
      <c r="H68" s="75" t="s">
        <v>313</v>
      </c>
      <c r="I68" s="75" t="s">
        <v>313</v>
      </c>
      <c r="J68" s="4"/>
    </row>
    <row r="69" spans="1:10" x14ac:dyDescent="0.25">
      <c r="A69" s="39">
        <v>68</v>
      </c>
      <c r="B69" s="3" t="s">
        <v>1595</v>
      </c>
      <c r="C69" s="75" t="s">
        <v>1596</v>
      </c>
      <c r="D69" s="75" t="s">
        <v>297</v>
      </c>
      <c r="E69" s="75" t="str">
        <f t="shared" si="0"/>
        <v>০</v>
      </c>
      <c r="F69" s="22" t="str">
        <f>"8119457811965"</f>
        <v>8119457811965</v>
      </c>
      <c r="G69" s="75" t="str">
        <f>"১৮৩৪"</f>
        <v>১৮৩৪</v>
      </c>
      <c r="H69" s="75" t="s">
        <v>314</v>
      </c>
      <c r="I69" s="75" t="s">
        <v>314</v>
      </c>
      <c r="J69" s="4"/>
    </row>
    <row r="70" spans="1:10" x14ac:dyDescent="0.25">
      <c r="A70" s="39">
        <v>69</v>
      </c>
      <c r="B70" s="3" t="s">
        <v>1597</v>
      </c>
      <c r="C70" s="75" t="s">
        <v>1569</v>
      </c>
      <c r="D70" s="75" t="s">
        <v>297</v>
      </c>
      <c r="E70" s="75" t="str">
        <f>"০১৭৬৫৮১৮৪৭৮"</f>
        <v>০১৭৬৫৮১৮৪৭৮</v>
      </c>
      <c r="F70" s="22" t="str">
        <f>"8119457817899"</f>
        <v>8119457817899</v>
      </c>
      <c r="G70" s="75" t="str">
        <f>"১৮৩৩"</f>
        <v>১৮৩৩</v>
      </c>
      <c r="H70" s="75" t="s">
        <v>321</v>
      </c>
      <c r="I70" s="75" t="s">
        <v>321</v>
      </c>
      <c r="J70" s="4"/>
    </row>
    <row r="71" spans="1:10" x14ac:dyDescent="0.25">
      <c r="A71" s="39">
        <v>70</v>
      </c>
      <c r="B71" s="3" t="s">
        <v>1598</v>
      </c>
      <c r="C71" s="75" t="s">
        <v>1599</v>
      </c>
      <c r="D71" s="75" t="s">
        <v>297</v>
      </c>
      <c r="E71" s="75" t="str">
        <f>"০১৮২০৮১৮৩৫০"</f>
        <v>০১৮২০৮১৮৩৫০</v>
      </c>
      <c r="F71" s="22" t="str">
        <f>"8119457817865"</f>
        <v>8119457817865</v>
      </c>
      <c r="G71" s="75" t="str">
        <f>"১৮৩২"</f>
        <v>১৮৩২</v>
      </c>
      <c r="H71" s="75" t="s">
        <v>322</v>
      </c>
      <c r="I71" s="75" t="s">
        <v>322</v>
      </c>
      <c r="J71" s="4"/>
    </row>
    <row r="72" spans="1:10" x14ac:dyDescent="0.25">
      <c r="A72" s="39">
        <v>71</v>
      </c>
      <c r="B72" s="3" t="s">
        <v>1600</v>
      </c>
      <c r="C72" s="75" t="s">
        <v>175</v>
      </c>
      <c r="D72" s="75" t="s">
        <v>298</v>
      </c>
      <c r="E72" s="75" t="str">
        <f>"০১৯২৫২৭৭৮৬০"</f>
        <v>০১৯২৫২৭৭৮৬০</v>
      </c>
      <c r="F72" s="22" t="str">
        <f>"8119457000191"</f>
        <v>8119457000191</v>
      </c>
      <c r="G72" s="75" t="str">
        <f>"১৮১২"</f>
        <v>১৮১২</v>
      </c>
      <c r="H72" s="75" t="s">
        <v>314</v>
      </c>
      <c r="I72" s="75" t="s">
        <v>314</v>
      </c>
      <c r="J72" s="4"/>
    </row>
    <row r="73" spans="1:10" s="50" customFormat="1" x14ac:dyDescent="0.25">
      <c r="A73" s="39">
        <v>72</v>
      </c>
      <c r="B73" s="44" t="s">
        <v>4387</v>
      </c>
      <c r="C73" s="44" t="s">
        <v>4388</v>
      </c>
      <c r="D73" s="44" t="s">
        <v>298</v>
      </c>
      <c r="E73" s="45">
        <v>1310976317</v>
      </c>
      <c r="F73" s="45">
        <v>8119457818849</v>
      </c>
      <c r="G73" s="46"/>
      <c r="H73" s="44">
        <v>99</v>
      </c>
      <c r="I73" s="44">
        <v>99</v>
      </c>
      <c r="J73" s="49"/>
    </row>
    <row r="74" spans="1:10" s="50" customFormat="1" x14ac:dyDescent="0.25">
      <c r="A74" s="39">
        <v>73</v>
      </c>
      <c r="B74" s="47" t="s">
        <v>4389</v>
      </c>
      <c r="C74" s="44" t="s">
        <v>4390</v>
      </c>
      <c r="D74" s="44" t="s">
        <v>298</v>
      </c>
      <c r="E74" s="45">
        <v>1767255686</v>
      </c>
      <c r="F74" s="45">
        <v>8119457818837</v>
      </c>
      <c r="G74" s="46"/>
      <c r="H74" s="44">
        <v>28</v>
      </c>
      <c r="I74" s="44">
        <v>28</v>
      </c>
      <c r="J74" s="49"/>
    </row>
    <row r="75" spans="1:10" s="50" customFormat="1" x14ac:dyDescent="0.25">
      <c r="A75" s="39">
        <v>74</v>
      </c>
      <c r="B75" s="44" t="s">
        <v>4391</v>
      </c>
      <c r="C75" s="44" t="s">
        <v>4392</v>
      </c>
      <c r="D75" s="44" t="s">
        <v>298</v>
      </c>
      <c r="E75" s="45">
        <v>1706491716</v>
      </c>
      <c r="F75" s="45">
        <v>8119457818875</v>
      </c>
      <c r="G75" s="46"/>
      <c r="H75" s="44">
        <v>41</v>
      </c>
      <c r="I75" s="44">
        <v>41</v>
      </c>
      <c r="J75" s="49"/>
    </row>
    <row r="76" spans="1:10" s="50" customFormat="1" x14ac:dyDescent="0.25">
      <c r="A76" s="39">
        <v>75</v>
      </c>
      <c r="B76" s="44" t="s">
        <v>4393</v>
      </c>
      <c r="C76" s="44" t="s">
        <v>4394</v>
      </c>
      <c r="D76" s="44" t="s">
        <v>298</v>
      </c>
      <c r="E76" s="45">
        <v>1737668129</v>
      </c>
      <c r="F76" s="45">
        <v>8119457818835</v>
      </c>
      <c r="G76" s="46"/>
      <c r="H76" s="44">
        <v>69</v>
      </c>
      <c r="I76" s="44">
        <v>69</v>
      </c>
      <c r="J76" s="49"/>
    </row>
    <row r="77" spans="1:10" s="50" customFormat="1" x14ac:dyDescent="0.25">
      <c r="A77" s="39">
        <v>76</v>
      </c>
      <c r="B77" s="44" t="s">
        <v>4395</v>
      </c>
      <c r="C77" s="44" t="s">
        <v>4396</v>
      </c>
      <c r="D77" s="44" t="s">
        <v>298</v>
      </c>
      <c r="E77" s="45">
        <v>1305139304</v>
      </c>
      <c r="F77" s="45">
        <v>8119457818857</v>
      </c>
      <c r="G77" s="46"/>
      <c r="H77" s="44">
        <v>104</v>
      </c>
      <c r="I77" s="44">
        <v>104</v>
      </c>
      <c r="J77" s="49"/>
    </row>
    <row r="78" spans="1:10" s="50" customFormat="1" x14ac:dyDescent="0.25">
      <c r="A78" s="39">
        <v>77</v>
      </c>
      <c r="B78" s="44" t="s">
        <v>4397</v>
      </c>
      <c r="C78" s="44" t="s">
        <v>4398</v>
      </c>
      <c r="D78" s="44" t="s">
        <v>298</v>
      </c>
      <c r="E78" s="45">
        <v>1305139304</v>
      </c>
      <c r="F78" s="45">
        <v>8703446495</v>
      </c>
      <c r="G78" s="46"/>
      <c r="H78" s="44"/>
      <c r="I78" s="44"/>
      <c r="J78" s="49"/>
    </row>
    <row r="79" spans="1:10" s="50" customFormat="1" x14ac:dyDescent="0.25">
      <c r="A79" s="39">
        <v>78</v>
      </c>
      <c r="B79" s="44" t="s">
        <v>4399</v>
      </c>
      <c r="C79" s="44" t="s">
        <v>4400</v>
      </c>
      <c r="D79" s="44" t="s">
        <v>298</v>
      </c>
      <c r="E79" s="45">
        <v>1745677227</v>
      </c>
      <c r="F79" s="45">
        <v>8119457818866</v>
      </c>
      <c r="G79" s="46"/>
      <c r="H79" s="44">
        <v>170</v>
      </c>
      <c r="I79" s="44">
        <v>170</v>
      </c>
      <c r="J79" s="49"/>
    </row>
    <row r="80" spans="1:10" s="50" customFormat="1" x14ac:dyDescent="0.25">
      <c r="A80" s="39">
        <v>79</v>
      </c>
      <c r="B80" s="44" t="s">
        <v>4401</v>
      </c>
      <c r="C80" s="44" t="s">
        <v>4390</v>
      </c>
      <c r="D80" s="44" t="s">
        <v>298</v>
      </c>
      <c r="E80" s="45">
        <v>11754542304</v>
      </c>
      <c r="F80" s="45">
        <v>8119457818901</v>
      </c>
      <c r="G80" s="46"/>
      <c r="H80" s="44">
        <v>49</v>
      </c>
      <c r="I80" s="44">
        <v>49</v>
      </c>
      <c r="J80" s="49"/>
    </row>
    <row r="81" spans="1:10" s="50" customFormat="1" x14ac:dyDescent="0.25">
      <c r="A81" s="39">
        <v>80</v>
      </c>
      <c r="B81" s="44" t="s">
        <v>4402</v>
      </c>
      <c r="C81" s="44" t="s">
        <v>4400</v>
      </c>
      <c r="D81" s="44" t="s">
        <v>298</v>
      </c>
      <c r="E81" s="45">
        <v>1739103418</v>
      </c>
      <c r="F81" s="45">
        <v>8119457818864</v>
      </c>
      <c r="G81" s="46">
        <v>130306161755</v>
      </c>
      <c r="H81" s="44">
        <v>115</v>
      </c>
      <c r="I81" s="44">
        <v>115</v>
      </c>
      <c r="J81" s="49"/>
    </row>
    <row r="82" spans="1:10" s="50" customFormat="1" ht="31.5" x14ac:dyDescent="0.25">
      <c r="A82" s="39">
        <v>81</v>
      </c>
      <c r="B82" s="44" t="s">
        <v>4403</v>
      </c>
      <c r="C82" s="44" t="s">
        <v>4400</v>
      </c>
      <c r="D82" s="44" t="s">
        <v>298</v>
      </c>
      <c r="E82" s="45">
        <v>1858808557</v>
      </c>
      <c r="F82" s="45" t="s">
        <v>4559</v>
      </c>
      <c r="G82" s="46"/>
      <c r="H82" s="44">
        <v>98</v>
      </c>
      <c r="I82" s="44">
        <v>98</v>
      </c>
      <c r="J82" s="49"/>
    </row>
    <row r="83" spans="1:10" s="50" customFormat="1" ht="31.5" x14ac:dyDescent="0.25">
      <c r="A83" s="39">
        <v>82</v>
      </c>
      <c r="B83" s="44" t="s">
        <v>4404</v>
      </c>
      <c r="C83" s="44" t="s">
        <v>4400</v>
      </c>
      <c r="D83" s="44" t="s">
        <v>298</v>
      </c>
      <c r="E83" s="45">
        <v>1747873849</v>
      </c>
      <c r="F83" s="45">
        <v>8119457818862</v>
      </c>
      <c r="G83" s="46"/>
      <c r="H83" s="44">
        <v>168</v>
      </c>
      <c r="I83" s="44">
        <v>168</v>
      </c>
      <c r="J83" s="49"/>
    </row>
    <row r="84" spans="1:10" s="50" customFormat="1" x14ac:dyDescent="0.25">
      <c r="A84" s="39">
        <v>83</v>
      </c>
      <c r="B84" s="44" t="s">
        <v>4405</v>
      </c>
      <c r="C84" s="44" t="s">
        <v>4406</v>
      </c>
      <c r="D84" s="44" t="s">
        <v>298</v>
      </c>
      <c r="E84" s="45">
        <v>1791329664</v>
      </c>
      <c r="F84" s="45">
        <v>8119457818860</v>
      </c>
      <c r="G84" s="46"/>
      <c r="H84" s="44">
        <v>181</v>
      </c>
      <c r="I84" s="44">
        <v>181</v>
      </c>
      <c r="J84" s="49"/>
    </row>
    <row r="85" spans="1:10" s="50" customFormat="1" x14ac:dyDescent="0.25">
      <c r="A85" s="39">
        <v>84</v>
      </c>
      <c r="B85" s="44" t="s">
        <v>4407</v>
      </c>
      <c r="C85" s="44" t="s">
        <v>4408</v>
      </c>
      <c r="D85" s="44" t="s">
        <v>298</v>
      </c>
      <c r="E85" s="45">
        <v>1735851741</v>
      </c>
      <c r="F85" s="45">
        <v>8119457818867</v>
      </c>
      <c r="G85" s="46">
        <v>130306161990</v>
      </c>
      <c r="H85" s="44">
        <v>231</v>
      </c>
      <c r="I85" s="44">
        <v>231</v>
      </c>
      <c r="J85" s="49"/>
    </row>
    <row r="86" spans="1:10" s="50" customFormat="1" x14ac:dyDescent="0.25">
      <c r="A86" s="39">
        <v>85</v>
      </c>
      <c r="B86" s="44" t="s">
        <v>4409</v>
      </c>
      <c r="C86" s="44" t="s">
        <v>4410</v>
      </c>
      <c r="D86" s="44" t="s">
        <v>298</v>
      </c>
      <c r="E86" s="45">
        <v>1744961153</v>
      </c>
      <c r="F86" s="45">
        <v>1953459631</v>
      </c>
      <c r="G86" s="46"/>
      <c r="H86" s="44">
        <v>132</v>
      </c>
      <c r="I86" s="44">
        <v>132</v>
      </c>
      <c r="J86" s="49"/>
    </row>
    <row r="87" spans="1:10" s="50" customFormat="1" x14ac:dyDescent="0.25">
      <c r="A87" s="39">
        <v>86</v>
      </c>
      <c r="B87" s="44" t="s">
        <v>4411</v>
      </c>
      <c r="C87" s="44" t="s">
        <v>4408</v>
      </c>
      <c r="D87" s="44" t="s">
        <v>298</v>
      </c>
      <c r="E87" s="45">
        <v>1710479992</v>
      </c>
      <c r="F87" s="45">
        <v>8119457818871</v>
      </c>
      <c r="G87" s="46">
        <v>130306161988</v>
      </c>
      <c r="H87" s="44">
        <v>132</v>
      </c>
      <c r="I87" s="44">
        <v>132</v>
      </c>
      <c r="J87" s="49"/>
    </row>
    <row r="88" spans="1:10" s="50" customFormat="1" ht="31.5" x14ac:dyDescent="0.25">
      <c r="A88" s="39">
        <v>87</v>
      </c>
      <c r="B88" s="44" t="s">
        <v>4412</v>
      </c>
      <c r="C88" s="44" t="s">
        <v>4413</v>
      </c>
      <c r="D88" s="44" t="s">
        <v>298</v>
      </c>
      <c r="E88" s="45">
        <v>1744596104</v>
      </c>
      <c r="F88" s="45" t="s">
        <v>4560</v>
      </c>
      <c r="G88" s="46"/>
      <c r="H88" s="44">
        <v>165</v>
      </c>
      <c r="I88" s="44">
        <v>165</v>
      </c>
      <c r="J88" s="49"/>
    </row>
    <row r="89" spans="1:10" s="50" customFormat="1" x14ac:dyDescent="0.25">
      <c r="A89" s="39">
        <v>88</v>
      </c>
      <c r="B89" s="44" t="s">
        <v>4280</v>
      </c>
      <c r="C89" s="44" t="s">
        <v>4414</v>
      </c>
      <c r="D89" s="44" t="s">
        <v>298</v>
      </c>
      <c r="E89" s="45">
        <v>1768817972</v>
      </c>
      <c r="F89" s="45">
        <v>8119457818820</v>
      </c>
      <c r="G89" s="46"/>
      <c r="H89" s="44">
        <v>71</v>
      </c>
      <c r="I89" s="44">
        <v>71</v>
      </c>
      <c r="J89" s="49"/>
    </row>
    <row r="90" spans="1:10" s="50" customFormat="1" x14ac:dyDescent="0.25">
      <c r="A90" s="39">
        <v>89</v>
      </c>
      <c r="B90" s="44" t="s">
        <v>4415</v>
      </c>
      <c r="C90" s="44" t="s">
        <v>4416</v>
      </c>
      <c r="D90" s="44" t="s">
        <v>298</v>
      </c>
      <c r="E90" s="45">
        <v>1647194889</v>
      </c>
      <c r="F90" s="45" t="s">
        <v>4561</v>
      </c>
      <c r="G90" s="46"/>
      <c r="H90" s="44">
        <v>69</v>
      </c>
      <c r="I90" s="44">
        <v>69</v>
      </c>
      <c r="J90" s="49"/>
    </row>
    <row r="91" spans="1:10" s="50" customFormat="1" x14ac:dyDescent="0.25">
      <c r="A91" s="39">
        <v>90</v>
      </c>
      <c r="B91" s="44" t="s">
        <v>4417</v>
      </c>
      <c r="C91" s="44" t="s">
        <v>4416</v>
      </c>
      <c r="D91" s="44" t="s">
        <v>298</v>
      </c>
      <c r="E91" s="45">
        <v>1703697016</v>
      </c>
      <c r="F91" s="45">
        <v>2861355457</v>
      </c>
      <c r="G91" s="46"/>
      <c r="H91" s="44">
        <v>52</v>
      </c>
      <c r="I91" s="44">
        <v>52</v>
      </c>
      <c r="J91" s="49"/>
    </row>
    <row r="92" spans="1:10" s="50" customFormat="1" x14ac:dyDescent="0.25">
      <c r="A92" s="39">
        <v>91</v>
      </c>
      <c r="B92" s="44" t="s">
        <v>4418</v>
      </c>
      <c r="C92" s="44" t="s">
        <v>4414</v>
      </c>
      <c r="D92" s="44" t="s">
        <v>298</v>
      </c>
      <c r="E92" s="45">
        <v>1751036238</v>
      </c>
      <c r="F92" s="45">
        <v>8119457818816</v>
      </c>
      <c r="G92" s="46"/>
      <c r="H92" s="44">
        <v>103</v>
      </c>
      <c r="I92" s="44">
        <v>103</v>
      </c>
      <c r="J92" s="49"/>
    </row>
    <row r="93" spans="1:10" s="50" customFormat="1" x14ac:dyDescent="0.25">
      <c r="A93" s="39">
        <v>92</v>
      </c>
      <c r="B93" s="44" t="s">
        <v>4419</v>
      </c>
      <c r="C93" s="44" t="s">
        <v>4416</v>
      </c>
      <c r="D93" s="44" t="s">
        <v>298</v>
      </c>
      <c r="E93" s="45">
        <v>1787534633</v>
      </c>
      <c r="F93" s="45" t="s">
        <v>4562</v>
      </c>
      <c r="G93" s="46"/>
      <c r="H93" s="44">
        <v>137</v>
      </c>
      <c r="I93" s="44">
        <v>137</v>
      </c>
      <c r="J93" s="49"/>
    </row>
    <row r="94" spans="1:10" s="50" customFormat="1" x14ac:dyDescent="0.25">
      <c r="A94" s="39">
        <v>93</v>
      </c>
      <c r="B94" s="48" t="s">
        <v>4359</v>
      </c>
      <c r="C94" s="48" t="s">
        <v>4420</v>
      </c>
      <c r="D94" s="44" t="s">
        <v>298</v>
      </c>
      <c r="E94" s="48" t="s">
        <v>4563</v>
      </c>
      <c r="F94" s="45">
        <v>8119457818792</v>
      </c>
      <c r="G94" s="46"/>
      <c r="H94" s="48">
        <v>528</v>
      </c>
      <c r="I94" s="48">
        <v>528</v>
      </c>
      <c r="J94" s="49"/>
    </row>
    <row r="95" spans="1:10" s="50" customFormat="1" x14ac:dyDescent="0.25">
      <c r="A95" s="39">
        <v>94</v>
      </c>
      <c r="B95" s="48" t="s">
        <v>4421</v>
      </c>
      <c r="C95" s="48" t="s">
        <v>4422</v>
      </c>
      <c r="D95" s="44" t="s">
        <v>298</v>
      </c>
      <c r="E95" s="48" t="s">
        <v>4564</v>
      </c>
      <c r="F95" s="45">
        <v>8119457818709</v>
      </c>
      <c r="G95" s="46"/>
      <c r="H95" s="48">
        <v>396</v>
      </c>
      <c r="I95" s="48">
        <v>396</v>
      </c>
      <c r="J95" s="49"/>
    </row>
    <row r="96" spans="1:10" s="50" customFormat="1" x14ac:dyDescent="0.25">
      <c r="A96" s="39">
        <v>95</v>
      </c>
      <c r="B96" s="48" t="s">
        <v>4423</v>
      </c>
      <c r="C96" s="48" t="s">
        <v>4424</v>
      </c>
      <c r="D96" s="44" t="s">
        <v>298</v>
      </c>
      <c r="E96" s="48" t="s">
        <v>4565</v>
      </c>
      <c r="F96" s="45" t="s">
        <v>4566</v>
      </c>
      <c r="G96" s="46"/>
      <c r="H96" s="48">
        <v>168</v>
      </c>
      <c r="I96" s="48">
        <v>168</v>
      </c>
      <c r="J96" s="49"/>
    </row>
    <row r="97" spans="1:10" s="50" customFormat="1" x14ac:dyDescent="0.25">
      <c r="A97" s="39">
        <v>96</v>
      </c>
      <c r="B97" s="48" t="s">
        <v>4425</v>
      </c>
      <c r="C97" s="48" t="s">
        <v>4426</v>
      </c>
      <c r="D97" s="44" t="s">
        <v>298</v>
      </c>
      <c r="E97" s="48" t="s">
        <v>4567</v>
      </c>
      <c r="F97" s="45" t="s">
        <v>4568</v>
      </c>
      <c r="G97" s="46"/>
      <c r="H97" s="48">
        <v>264</v>
      </c>
      <c r="I97" s="48">
        <v>264</v>
      </c>
      <c r="J97" s="49"/>
    </row>
    <row r="98" spans="1:10" s="50" customFormat="1" x14ac:dyDescent="0.25">
      <c r="A98" s="39">
        <v>97</v>
      </c>
      <c r="B98" s="48" t="s">
        <v>4427</v>
      </c>
      <c r="C98" s="48" t="s">
        <v>4428</v>
      </c>
      <c r="D98" s="44" t="s">
        <v>298</v>
      </c>
      <c r="E98" s="48" t="s">
        <v>4569</v>
      </c>
      <c r="F98" s="45" t="s">
        <v>4570</v>
      </c>
      <c r="G98" s="46"/>
      <c r="H98" s="48">
        <v>115</v>
      </c>
      <c r="I98" s="48">
        <v>115</v>
      </c>
      <c r="J98" s="49"/>
    </row>
    <row r="99" spans="1:10" s="50" customFormat="1" x14ac:dyDescent="0.25">
      <c r="A99" s="39">
        <v>98</v>
      </c>
      <c r="B99" s="48" t="s">
        <v>4429</v>
      </c>
      <c r="C99" s="48" t="s">
        <v>4430</v>
      </c>
      <c r="D99" s="44" t="s">
        <v>298</v>
      </c>
      <c r="E99" s="48" t="s">
        <v>4571</v>
      </c>
      <c r="F99" s="45" t="s">
        <v>4572</v>
      </c>
      <c r="G99" s="46"/>
      <c r="H99" s="48">
        <v>297</v>
      </c>
      <c r="I99" s="48">
        <v>297</v>
      </c>
      <c r="J99" s="49"/>
    </row>
    <row r="100" spans="1:10" s="50" customFormat="1" x14ac:dyDescent="0.25">
      <c r="A100" s="39">
        <v>99</v>
      </c>
      <c r="B100" s="48" t="s">
        <v>4431</v>
      </c>
      <c r="C100" s="48" t="s">
        <v>4432</v>
      </c>
      <c r="D100" s="44" t="s">
        <v>298</v>
      </c>
      <c r="E100" s="48" t="s">
        <v>4573</v>
      </c>
      <c r="F100" s="45" t="s">
        <v>4574</v>
      </c>
      <c r="G100" s="46"/>
      <c r="H100" s="48">
        <v>102</v>
      </c>
      <c r="I100" s="48">
        <v>102</v>
      </c>
      <c r="J100" s="49"/>
    </row>
    <row r="101" spans="1:10" s="50" customFormat="1" x14ac:dyDescent="0.25">
      <c r="A101" s="39">
        <v>100</v>
      </c>
      <c r="B101" s="48" t="s">
        <v>4324</v>
      </c>
      <c r="C101" s="48" t="s">
        <v>4433</v>
      </c>
      <c r="D101" s="44" t="s">
        <v>298</v>
      </c>
      <c r="E101" s="48" t="s">
        <v>4575</v>
      </c>
      <c r="F101" s="45" t="s">
        <v>4576</v>
      </c>
      <c r="G101" s="46"/>
      <c r="H101" s="48">
        <v>66</v>
      </c>
      <c r="I101" s="48">
        <v>66</v>
      </c>
      <c r="J101" s="49"/>
    </row>
    <row r="102" spans="1:10" s="50" customFormat="1" x14ac:dyDescent="0.25">
      <c r="A102" s="39">
        <v>101</v>
      </c>
      <c r="B102" s="48" t="s">
        <v>4434</v>
      </c>
      <c r="C102" s="48" t="s">
        <v>4435</v>
      </c>
      <c r="D102" s="44" t="s">
        <v>298</v>
      </c>
      <c r="E102" s="48" t="s">
        <v>4577</v>
      </c>
      <c r="F102" s="45">
        <v>8119457818750</v>
      </c>
      <c r="G102" s="46">
        <v>130306161566</v>
      </c>
      <c r="H102" s="48">
        <v>264</v>
      </c>
      <c r="I102" s="48">
        <v>264</v>
      </c>
      <c r="J102" s="49"/>
    </row>
    <row r="103" spans="1:10" s="50" customFormat="1" x14ac:dyDescent="0.25">
      <c r="A103" s="39">
        <v>102</v>
      </c>
      <c r="B103" s="48" t="s">
        <v>4436</v>
      </c>
      <c r="C103" s="48" t="s">
        <v>4437</v>
      </c>
      <c r="D103" s="44" t="s">
        <v>298</v>
      </c>
      <c r="E103" s="48" t="s">
        <v>4578</v>
      </c>
      <c r="F103" s="45" t="s">
        <v>4579</v>
      </c>
      <c r="G103" s="46"/>
      <c r="H103" s="48">
        <v>132</v>
      </c>
      <c r="I103" s="48">
        <v>132</v>
      </c>
      <c r="J103" s="49"/>
    </row>
    <row r="104" spans="1:10" s="50" customFormat="1" x14ac:dyDescent="0.25">
      <c r="A104" s="39">
        <v>103</v>
      </c>
      <c r="B104" s="48" t="s">
        <v>4438</v>
      </c>
      <c r="C104" s="48" t="s">
        <v>4439</v>
      </c>
      <c r="D104" s="44" t="s">
        <v>298</v>
      </c>
      <c r="E104" s="48" t="s">
        <v>4580</v>
      </c>
      <c r="F104" s="45" t="s">
        <v>4581</v>
      </c>
      <c r="G104" s="46"/>
      <c r="H104" s="48">
        <v>264</v>
      </c>
      <c r="I104" s="48">
        <v>264</v>
      </c>
      <c r="J104" s="49"/>
    </row>
    <row r="105" spans="1:10" s="50" customFormat="1" ht="31.5" x14ac:dyDescent="0.25">
      <c r="A105" s="39">
        <v>104</v>
      </c>
      <c r="B105" s="44" t="s">
        <v>4440</v>
      </c>
      <c r="C105" s="44" t="s">
        <v>4441</v>
      </c>
      <c r="D105" s="44" t="s">
        <v>298</v>
      </c>
      <c r="E105" s="44" t="s">
        <v>4582</v>
      </c>
      <c r="F105" s="45" t="s">
        <v>4583</v>
      </c>
      <c r="G105" s="46"/>
      <c r="H105" s="44">
        <v>264</v>
      </c>
      <c r="I105" s="44">
        <v>264</v>
      </c>
      <c r="J105" s="49"/>
    </row>
    <row r="106" spans="1:10" s="50" customFormat="1" ht="31.5" x14ac:dyDescent="0.25">
      <c r="A106" s="39">
        <v>105</v>
      </c>
      <c r="B106" s="44" t="s">
        <v>4355</v>
      </c>
      <c r="C106" s="44" t="s">
        <v>4442</v>
      </c>
      <c r="D106" s="44" t="s">
        <v>298</v>
      </c>
      <c r="E106" s="44" t="s">
        <v>4584</v>
      </c>
      <c r="F106" s="45" t="s">
        <v>4585</v>
      </c>
      <c r="G106" s="46"/>
      <c r="H106" s="44">
        <v>165</v>
      </c>
      <c r="I106" s="44">
        <v>165</v>
      </c>
      <c r="J106" s="49"/>
    </row>
    <row r="107" spans="1:10" s="50" customFormat="1" x14ac:dyDescent="0.25">
      <c r="A107" s="39">
        <v>106</v>
      </c>
      <c r="B107" s="44" t="s">
        <v>4443</v>
      </c>
      <c r="C107" s="44" t="s">
        <v>4444</v>
      </c>
      <c r="D107" s="44" t="s">
        <v>298</v>
      </c>
      <c r="E107" s="44" t="s">
        <v>4586</v>
      </c>
      <c r="F107" s="45" t="s">
        <v>4587</v>
      </c>
      <c r="G107" s="46"/>
      <c r="H107" s="44">
        <v>198</v>
      </c>
      <c r="I107" s="44">
        <v>198</v>
      </c>
      <c r="J107" s="49"/>
    </row>
    <row r="108" spans="1:10" s="50" customFormat="1" x14ac:dyDescent="0.25">
      <c r="A108" s="39">
        <v>107</v>
      </c>
      <c r="B108" s="44" t="s">
        <v>4445</v>
      </c>
      <c r="C108" s="44" t="s">
        <v>4446</v>
      </c>
      <c r="D108" s="44" t="s">
        <v>298</v>
      </c>
      <c r="E108" s="44" t="s">
        <v>4588</v>
      </c>
      <c r="F108" s="45" t="s">
        <v>4589</v>
      </c>
      <c r="G108" s="46"/>
      <c r="H108" s="44">
        <v>165</v>
      </c>
      <c r="I108" s="44">
        <v>165</v>
      </c>
      <c r="J108" s="49"/>
    </row>
    <row r="109" spans="1:10" s="50" customFormat="1" x14ac:dyDescent="0.25">
      <c r="A109" s="39">
        <v>108</v>
      </c>
      <c r="B109" s="44" t="s">
        <v>4447</v>
      </c>
      <c r="C109" s="44" t="s">
        <v>4448</v>
      </c>
      <c r="D109" s="44" t="s">
        <v>298</v>
      </c>
      <c r="E109" s="44" t="s">
        <v>4590</v>
      </c>
      <c r="F109" s="45" t="s">
        <v>4591</v>
      </c>
      <c r="G109" s="46"/>
      <c r="H109" s="44">
        <v>102</v>
      </c>
      <c r="I109" s="44">
        <v>102</v>
      </c>
      <c r="J109" s="49"/>
    </row>
    <row r="110" spans="1:10" s="50" customFormat="1" x14ac:dyDescent="0.25">
      <c r="A110" s="39">
        <v>109</v>
      </c>
      <c r="B110" s="44" t="s">
        <v>4449</v>
      </c>
      <c r="C110" s="44" t="s">
        <v>4450</v>
      </c>
      <c r="D110" s="44" t="s">
        <v>298</v>
      </c>
      <c r="E110" s="44" t="s">
        <v>4592</v>
      </c>
      <c r="F110" s="45" t="s">
        <v>4593</v>
      </c>
      <c r="G110" s="46"/>
      <c r="H110" s="44">
        <v>495</v>
      </c>
      <c r="I110" s="44">
        <v>495</v>
      </c>
      <c r="J110" s="49"/>
    </row>
    <row r="111" spans="1:10" s="50" customFormat="1" x14ac:dyDescent="0.25">
      <c r="A111" s="39">
        <v>110</v>
      </c>
      <c r="B111" s="44" t="s">
        <v>4451</v>
      </c>
      <c r="C111" s="44" t="s">
        <v>4452</v>
      </c>
      <c r="D111" s="44" t="s">
        <v>298</v>
      </c>
      <c r="E111" s="44" t="s">
        <v>4594</v>
      </c>
      <c r="F111" s="45" t="s">
        <v>4595</v>
      </c>
      <c r="G111" s="46"/>
      <c r="H111" s="44">
        <v>165</v>
      </c>
      <c r="I111" s="44">
        <v>165</v>
      </c>
      <c r="J111" s="49"/>
    </row>
    <row r="112" spans="1:10" s="50" customFormat="1" ht="31.5" x14ac:dyDescent="0.25">
      <c r="A112" s="39">
        <v>111</v>
      </c>
      <c r="B112" s="44" t="s">
        <v>4453</v>
      </c>
      <c r="C112" s="44" t="s">
        <v>4454</v>
      </c>
      <c r="D112" s="44" t="s">
        <v>298</v>
      </c>
      <c r="E112" s="44" t="s">
        <v>4596</v>
      </c>
      <c r="F112" s="45" t="s">
        <v>4597</v>
      </c>
      <c r="G112" s="46"/>
      <c r="H112" s="44">
        <v>396</v>
      </c>
      <c r="I112" s="44">
        <v>396</v>
      </c>
      <c r="J112" s="49"/>
    </row>
    <row r="113" spans="1:10" s="50" customFormat="1" ht="31.5" x14ac:dyDescent="0.25">
      <c r="A113" s="39">
        <v>112</v>
      </c>
      <c r="B113" s="44" t="s">
        <v>4455</v>
      </c>
      <c r="C113" s="44" t="s">
        <v>4456</v>
      </c>
      <c r="D113" s="44" t="s">
        <v>298</v>
      </c>
      <c r="E113" s="44" t="s">
        <v>4598</v>
      </c>
      <c r="F113" s="45" t="s">
        <v>4599</v>
      </c>
      <c r="G113" s="46"/>
      <c r="H113" s="44">
        <v>33</v>
      </c>
      <c r="I113" s="44">
        <v>33</v>
      </c>
      <c r="J113" s="49"/>
    </row>
    <row r="114" spans="1:10" s="50" customFormat="1" x14ac:dyDescent="0.25">
      <c r="A114" s="39">
        <v>113</v>
      </c>
      <c r="B114" s="44" t="s">
        <v>4457</v>
      </c>
      <c r="C114" s="44" t="s">
        <v>4458</v>
      </c>
      <c r="D114" s="44" t="s">
        <v>298</v>
      </c>
      <c r="E114" s="44" t="s">
        <v>4600</v>
      </c>
      <c r="F114" s="45" t="s">
        <v>4601</v>
      </c>
      <c r="G114" s="46"/>
      <c r="H114" s="44">
        <v>33</v>
      </c>
      <c r="I114" s="44">
        <v>33</v>
      </c>
      <c r="J114" s="49"/>
    </row>
    <row r="115" spans="1:10" s="50" customFormat="1" ht="31.5" x14ac:dyDescent="0.25">
      <c r="A115" s="39">
        <v>114</v>
      </c>
      <c r="B115" s="44" t="s">
        <v>4459</v>
      </c>
      <c r="C115" s="44" t="s">
        <v>4460</v>
      </c>
      <c r="D115" s="44" t="s">
        <v>298</v>
      </c>
      <c r="E115" s="44" t="s">
        <v>4602</v>
      </c>
      <c r="F115" s="45" t="s">
        <v>4603</v>
      </c>
      <c r="G115" s="46"/>
      <c r="H115" s="44">
        <v>66</v>
      </c>
      <c r="I115" s="44">
        <v>66</v>
      </c>
      <c r="J115" s="49"/>
    </row>
    <row r="116" spans="1:10" s="50" customFormat="1" ht="31.5" x14ac:dyDescent="0.25">
      <c r="A116" s="39">
        <v>115</v>
      </c>
      <c r="B116" s="51" t="s">
        <v>4461</v>
      </c>
      <c r="C116" s="44" t="s">
        <v>4462</v>
      </c>
      <c r="D116" s="44" t="s">
        <v>298</v>
      </c>
      <c r="E116" s="44" t="s">
        <v>4604</v>
      </c>
      <c r="F116" s="45" t="s">
        <v>4605</v>
      </c>
      <c r="G116" s="46"/>
      <c r="H116" s="44">
        <v>69</v>
      </c>
      <c r="I116" s="44">
        <v>69</v>
      </c>
      <c r="J116" s="49"/>
    </row>
    <row r="117" spans="1:10" s="50" customFormat="1" x14ac:dyDescent="0.25">
      <c r="A117" s="39">
        <v>116</v>
      </c>
      <c r="B117" s="44" t="s">
        <v>4463</v>
      </c>
      <c r="C117" s="44" t="s">
        <v>4464</v>
      </c>
      <c r="D117" s="44" t="s">
        <v>298</v>
      </c>
      <c r="E117" s="44" t="s">
        <v>4606</v>
      </c>
      <c r="F117" s="45">
        <v>8119457818712</v>
      </c>
      <c r="G117" s="46">
        <v>130306161804</v>
      </c>
      <c r="H117" s="44">
        <v>198</v>
      </c>
      <c r="I117" s="44">
        <v>198</v>
      </c>
      <c r="J117" s="49"/>
    </row>
    <row r="118" spans="1:10" s="50" customFormat="1" x14ac:dyDescent="0.25">
      <c r="A118" s="39">
        <v>117</v>
      </c>
      <c r="B118" s="44" t="s">
        <v>4465</v>
      </c>
      <c r="C118" s="44" t="s">
        <v>4466</v>
      </c>
      <c r="D118" s="44" t="s">
        <v>298</v>
      </c>
      <c r="E118" s="44" t="s">
        <v>4607</v>
      </c>
      <c r="F118" s="45" t="s">
        <v>4608</v>
      </c>
      <c r="G118" s="46"/>
      <c r="H118" s="44">
        <v>610</v>
      </c>
      <c r="I118" s="44">
        <v>610</v>
      </c>
      <c r="J118" s="49"/>
    </row>
    <row r="119" spans="1:10" s="50" customFormat="1" x14ac:dyDescent="0.25">
      <c r="A119" s="39">
        <v>118</v>
      </c>
      <c r="B119" s="44" t="s">
        <v>4467</v>
      </c>
      <c r="C119" s="44" t="s">
        <v>4468</v>
      </c>
      <c r="D119" s="44" t="s">
        <v>298</v>
      </c>
      <c r="E119" s="44" t="s">
        <v>4607</v>
      </c>
      <c r="F119" s="45" t="s">
        <v>4609</v>
      </c>
      <c r="G119" s="46"/>
      <c r="H119" s="44">
        <v>36</v>
      </c>
      <c r="I119" s="44">
        <v>36</v>
      </c>
      <c r="J119" s="49"/>
    </row>
    <row r="120" spans="1:10" s="50" customFormat="1" x14ac:dyDescent="0.25">
      <c r="A120" s="39">
        <v>119</v>
      </c>
      <c r="B120" s="44" t="s">
        <v>4319</v>
      </c>
      <c r="C120" s="44" t="s">
        <v>4469</v>
      </c>
      <c r="D120" s="44" t="s">
        <v>298</v>
      </c>
      <c r="E120" s="44" t="s">
        <v>4610</v>
      </c>
      <c r="F120" s="45" t="s">
        <v>4611</v>
      </c>
      <c r="G120" s="46"/>
      <c r="H120" s="44">
        <v>66</v>
      </c>
      <c r="I120" s="44">
        <v>66</v>
      </c>
      <c r="J120" s="49"/>
    </row>
    <row r="121" spans="1:10" s="50" customFormat="1" x14ac:dyDescent="0.25">
      <c r="A121" s="39">
        <v>120</v>
      </c>
      <c r="B121" s="44" t="s">
        <v>4470</v>
      </c>
      <c r="C121" s="44" t="s">
        <v>4471</v>
      </c>
      <c r="D121" s="44" t="s">
        <v>298</v>
      </c>
      <c r="E121" s="44" t="s">
        <v>4612</v>
      </c>
      <c r="F121" s="45" t="s">
        <v>4613</v>
      </c>
      <c r="G121" s="46"/>
      <c r="H121" s="44">
        <v>68</v>
      </c>
      <c r="I121" s="44">
        <v>68</v>
      </c>
      <c r="J121" s="49"/>
    </row>
    <row r="122" spans="1:10" s="50" customFormat="1" ht="31.5" x14ac:dyDescent="0.25">
      <c r="A122" s="39">
        <v>121</v>
      </c>
      <c r="B122" s="44" t="s">
        <v>4472</v>
      </c>
      <c r="C122" s="44" t="s">
        <v>4473</v>
      </c>
      <c r="D122" s="44" t="s">
        <v>298</v>
      </c>
      <c r="E122" s="44" t="s">
        <v>4614</v>
      </c>
      <c r="F122" s="45" t="s">
        <v>4615</v>
      </c>
      <c r="G122" s="46"/>
      <c r="H122" s="44">
        <v>58</v>
      </c>
      <c r="I122" s="44">
        <v>58</v>
      </c>
      <c r="J122" s="49"/>
    </row>
    <row r="123" spans="1:10" s="50" customFormat="1" x14ac:dyDescent="0.25">
      <c r="A123" s="39">
        <v>122</v>
      </c>
      <c r="B123" s="44" t="s">
        <v>4474</v>
      </c>
      <c r="C123" s="44" t="s">
        <v>4473</v>
      </c>
      <c r="D123" s="44" t="s">
        <v>298</v>
      </c>
      <c r="E123" s="44" t="s">
        <v>4614</v>
      </c>
      <c r="F123" s="45" t="s">
        <v>4616</v>
      </c>
      <c r="G123" s="46"/>
      <c r="H123" s="44">
        <v>231</v>
      </c>
      <c r="I123" s="44">
        <v>231</v>
      </c>
      <c r="J123" s="49"/>
    </row>
    <row r="124" spans="1:10" s="50" customFormat="1" x14ac:dyDescent="0.25">
      <c r="A124" s="39">
        <v>123</v>
      </c>
      <c r="B124" s="44" t="s">
        <v>4475</v>
      </c>
      <c r="C124" s="44" t="s">
        <v>4476</v>
      </c>
      <c r="D124" s="44" t="s">
        <v>296</v>
      </c>
      <c r="E124" s="44" t="s">
        <v>4617</v>
      </c>
      <c r="F124" s="45" t="s">
        <v>4618</v>
      </c>
      <c r="G124" s="46"/>
      <c r="H124" s="44">
        <v>82</v>
      </c>
      <c r="I124" s="44">
        <v>82</v>
      </c>
      <c r="J124" s="49"/>
    </row>
    <row r="125" spans="1:10" s="50" customFormat="1" x14ac:dyDescent="0.25">
      <c r="A125" s="39">
        <v>124</v>
      </c>
      <c r="B125" s="44" t="s">
        <v>4477</v>
      </c>
      <c r="C125" s="44" t="s">
        <v>4478</v>
      </c>
      <c r="D125" s="44" t="s">
        <v>296</v>
      </c>
      <c r="E125" s="44" t="s">
        <v>4619</v>
      </c>
      <c r="F125" s="45">
        <v>8119457818420</v>
      </c>
      <c r="G125" s="46">
        <v>130306161917</v>
      </c>
      <c r="H125" s="44">
        <v>38</v>
      </c>
      <c r="I125" s="44">
        <v>38</v>
      </c>
      <c r="J125" s="49"/>
    </row>
    <row r="126" spans="1:10" s="50" customFormat="1" x14ac:dyDescent="0.25">
      <c r="A126" s="39">
        <v>125</v>
      </c>
      <c r="B126" s="44" t="s">
        <v>4479</v>
      </c>
      <c r="C126" s="44" t="s">
        <v>1347</v>
      </c>
      <c r="D126" s="44" t="s">
        <v>296</v>
      </c>
      <c r="E126" s="44" t="s">
        <v>4619</v>
      </c>
      <c r="F126" s="45" t="s">
        <v>4620</v>
      </c>
      <c r="G126" s="46"/>
      <c r="H126" s="44">
        <v>36</v>
      </c>
      <c r="I126" s="44">
        <v>36</v>
      </c>
      <c r="J126" s="49"/>
    </row>
    <row r="127" spans="1:10" s="50" customFormat="1" ht="31.5" x14ac:dyDescent="0.25">
      <c r="A127" s="39">
        <v>126</v>
      </c>
      <c r="B127" s="44" t="s">
        <v>4480</v>
      </c>
      <c r="C127" s="44" t="s">
        <v>4481</v>
      </c>
      <c r="D127" s="44" t="s">
        <v>298</v>
      </c>
      <c r="E127" s="44" t="s">
        <v>4621</v>
      </c>
      <c r="F127" s="45" t="s">
        <v>4622</v>
      </c>
      <c r="G127" s="46"/>
      <c r="H127" s="44">
        <v>396</v>
      </c>
      <c r="I127" s="44">
        <v>396</v>
      </c>
      <c r="J127" s="49"/>
    </row>
    <row r="128" spans="1:10" s="50" customFormat="1" x14ac:dyDescent="0.25">
      <c r="A128" s="39">
        <v>127</v>
      </c>
      <c r="B128" s="48" t="s">
        <v>4482</v>
      </c>
      <c r="C128" s="44" t="s">
        <v>4483</v>
      </c>
      <c r="D128" s="44" t="s">
        <v>298</v>
      </c>
      <c r="E128" s="44" t="s">
        <v>4623</v>
      </c>
      <c r="F128" s="45" t="s">
        <v>4624</v>
      </c>
      <c r="G128" s="46"/>
      <c r="H128" s="44">
        <v>264</v>
      </c>
      <c r="I128" s="44">
        <v>264</v>
      </c>
      <c r="J128" s="49"/>
    </row>
    <row r="129" spans="1:10" s="50" customFormat="1" x14ac:dyDescent="0.25">
      <c r="A129" s="39">
        <v>128</v>
      </c>
      <c r="B129" s="44" t="s">
        <v>4436</v>
      </c>
      <c r="C129" s="44" t="s">
        <v>4484</v>
      </c>
      <c r="D129" s="44" t="s">
        <v>298</v>
      </c>
      <c r="E129" s="44" t="s">
        <v>4625</v>
      </c>
      <c r="F129" s="45" t="s">
        <v>4626</v>
      </c>
      <c r="G129" s="46"/>
      <c r="H129" s="44">
        <v>132</v>
      </c>
      <c r="I129" s="44">
        <v>132</v>
      </c>
      <c r="J129" s="49"/>
    </row>
    <row r="130" spans="1:10" s="50" customFormat="1" x14ac:dyDescent="0.25">
      <c r="A130" s="39">
        <v>129</v>
      </c>
      <c r="B130" s="44" t="s">
        <v>4485</v>
      </c>
      <c r="C130" s="44" t="s">
        <v>4486</v>
      </c>
      <c r="D130" s="44" t="s">
        <v>298</v>
      </c>
      <c r="E130" s="44" t="s">
        <v>4627</v>
      </c>
      <c r="F130" s="45">
        <v>8119457818830</v>
      </c>
      <c r="G130" s="46">
        <v>130306161756</v>
      </c>
      <c r="H130" s="44">
        <v>66</v>
      </c>
      <c r="I130" s="44">
        <v>66</v>
      </c>
      <c r="J130" s="49"/>
    </row>
    <row r="131" spans="1:10" s="50" customFormat="1" x14ac:dyDescent="0.25">
      <c r="A131" s="39">
        <v>130</v>
      </c>
      <c r="B131" s="44" t="s">
        <v>4487</v>
      </c>
      <c r="C131" s="44" t="s">
        <v>4488</v>
      </c>
      <c r="D131" s="44" t="s">
        <v>298</v>
      </c>
      <c r="E131" s="44" t="s">
        <v>4628</v>
      </c>
      <c r="F131" s="45" t="s">
        <v>4629</v>
      </c>
      <c r="G131" s="46"/>
      <c r="H131" s="44">
        <v>99</v>
      </c>
      <c r="I131" s="44">
        <v>99</v>
      </c>
      <c r="J131" s="49"/>
    </row>
    <row r="132" spans="1:10" s="50" customFormat="1" x14ac:dyDescent="0.25">
      <c r="A132" s="39">
        <v>131</v>
      </c>
      <c r="B132" s="44" t="s">
        <v>4489</v>
      </c>
      <c r="C132" s="44" t="s">
        <v>4488</v>
      </c>
      <c r="D132" s="44" t="s">
        <v>298</v>
      </c>
      <c r="E132" s="44" t="s">
        <v>4630</v>
      </c>
      <c r="F132" s="45" t="s">
        <v>4631</v>
      </c>
      <c r="G132" s="46"/>
      <c r="H132" s="44">
        <v>132</v>
      </c>
      <c r="I132" s="44">
        <v>132</v>
      </c>
      <c r="J132" s="49"/>
    </row>
    <row r="133" spans="1:10" s="50" customFormat="1" x14ac:dyDescent="0.25">
      <c r="A133" s="39">
        <v>132</v>
      </c>
      <c r="B133" s="44" t="s">
        <v>4490</v>
      </c>
      <c r="C133" s="44" t="s">
        <v>4458</v>
      </c>
      <c r="D133" s="44" t="s">
        <v>298</v>
      </c>
      <c r="E133" s="44" t="s">
        <v>4632</v>
      </c>
      <c r="F133" s="45">
        <v>8119457818906</v>
      </c>
      <c r="G133" s="46">
        <v>130306161821</v>
      </c>
      <c r="H133" s="44">
        <v>231</v>
      </c>
      <c r="I133" s="44">
        <v>231</v>
      </c>
      <c r="J133" s="49"/>
    </row>
    <row r="134" spans="1:10" s="50" customFormat="1" x14ac:dyDescent="0.25">
      <c r="A134" s="39">
        <v>133</v>
      </c>
      <c r="B134" s="44" t="s">
        <v>4290</v>
      </c>
      <c r="C134" s="44" t="s">
        <v>4458</v>
      </c>
      <c r="D134" s="44" t="s">
        <v>298</v>
      </c>
      <c r="E134" s="44" t="s">
        <v>4633</v>
      </c>
      <c r="F134" s="45">
        <v>8119457818705</v>
      </c>
      <c r="G134" s="46">
        <v>130306162119</v>
      </c>
      <c r="H134" s="44">
        <v>264</v>
      </c>
      <c r="I134" s="44">
        <v>264</v>
      </c>
      <c r="J134" s="49"/>
    </row>
    <row r="135" spans="1:10" s="50" customFormat="1" x14ac:dyDescent="0.25">
      <c r="A135" s="39">
        <v>134</v>
      </c>
      <c r="B135" s="44" t="s">
        <v>4491</v>
      </c>
      <c r="C135" s="44" t="s">
        <v>4492</v>
      </c>
      <c r="D135" s="44" t="s">
        <v>298</v>
      </c>
      <c r="E135" s="44" t="s">
        <v>4634</v>
      </c>
      <c r="F135" s="45">
        <v>8119457818769</v>
      </c>
      <c r="G135" s="46">
        <v>130306161806</v>
      </c>
      <c r="H135" s="44">
        <v>35</v>
      </c>
      <c r="I135" s="44">
        <v>35</v>
      </c>
      <c r="J135" s="49"/>
    </row>
    <row r="136" spans="1:10" s="50" customFormat="1" ht="31.5" x14ac:dyDescent="0.25">
      <c r="A136" s="39">
        <v>135</v>
      </c>
      <c r="B136" s="44" t="s">
        <v>4493</v>
      </c>
      <c r="C136" s="44" t="s">
        <v>4492</v>
      </c>
      <c r="D136" s="44" t="s">
        <v>298</v>
      </c>
      <c r="E136" s="44" t="s">
        <v>4635</v>
      </c>
      <c r="F136" s="45" t="s">
        <v>4636</v>
      </c>
      <c r="G136" s="46"/>
      <c r="H136" s="44">
        <v>267</v>
      </c>
      <c r="I136" s="44">
        <v>267</v>
      </c>
      <c r="J136" s="49"/>
    </row>
    <row r="137" spans="1:10" s="50" customFormat="1" ht="31.5" x14ac:dyDescent="0.25">
      <c r="A137" s="39">
        <v>136</v>
      </c>
      <c r="B137" s="44" t="s">
        <v>4494</v>
      </c>
      <c r="C137" s="44" t="s">
        <v>4495</v>
      </c>
      <c r="D137" s="44" t="s">
        <v>298</v>
      </c>
      <c r="E137" s="44" t="s">
        <v>4637</v>
      </c>
      <c r="F137" s="45">
        <v>8119457818772</v>
      </c>
      <c r="G137" s="46">
        <v>130306161807</v>
      </c>
      <c r="H137" s="44">
        <v>201</v>
      </c>
      <c r="I137" s="44">
        <v>201</v>
      </c>
      <c r="J137" s="49"/>
    </row>
    <row r="138" spans="1:10" s="50" customFormat="1" ht="31.5" x14ac:dyDescent="0.25">
      <c r="A138" s="39">
        <v>137</v>
      </c>
      <c r="B138" s="44" t="s">
        <v>4496</v>
      </c>
      <c r="C138" s="44" t="s">
        <v>4495</v>
      </c>
      <c r="D138" s="44" t="s">
        <v>298</v>
      </c>
      <c r="E138" s="44" t="s">
        <v>4638</v>
      </c>
      <c r="F138" s="45" t="s">
        <v>4639</v>
      </c>
      <c r="G138" s="46"/>
      <c r="H138" s="44">
        <v>135</v>
      </c>
      <c r="I138" s="44">
        <v>135</v>
      </c>
      <c r="J138" s="49"/>
    </row>
    <row r="139" spans="1:10" s="50" customFormat="1" x14ac:dyDescent="0.25">
      <c r="A139" s="39">
        <v>138</v>
      </c>
      <c r="B139" s="44" t="s">
        <v>4497</v>
      </c>
      <c r="C139" s="44" t="s">
        <v>4426</v>
      </c>
      <c r="D139" s="44" t="s">
        <v>298</v>
      </c>
      <c r="E139" s="44" t="s">
        <v>4640</v>
      </c>
      <c r="F139" s="45" t="s">
        <v>4641</v>
      </c>
      <c r="G139" s="46"/>
      <c r="H139" s="44">
        <v>132</v>
      </c>
      <c r="I139" s="44">
        <v>132</v>
      </c>
      <c r="J139" s="49"/>
    </row>
    <row r="140" spans="1:10" s="50" customFormat="1" x14ac:dyDescent="0.25">
      <c r="A140" s="39">
        <v>139</v>
      </c>
      <c r="B140" s="44" t="s">
        <v>4498</v>
      </c>
      <c r="C140" s="44" t="s">
        <v>4435</v>
      </c>
      <c r="D140" s="44" t="s">
        <v>298</v>
      </c>
      <c r="E140" s="44" t="s">
        <v>4642</v>
      </c>
      <c r="F140" s="45" t="s">
        <v>4643</v>
      </c>
      <c r="G140" s="46"/>
      <c r="H140" s="44">
        <v>99</v>
      </c>
      <c r="I140" s="44">
        <v>99</v>
      </c>
      <c r="J140" s="49"/>
    </row>
    <row r="141" spans="1:10" s="50" customFormat="1" x14ac:dyDescent="0.25">
      <c r="A141" s="39">
        <v>140</v>
      </c>
      <c r="B141" s="44" t="s">
        <v>4499</v>
      </c>
      <c r="C141" s="44" t="s">
        <v>4435</v>
      </c>
      <c r="D141" s="44" t="s">
        <v>298</v>
      </c>
      <c r="E141" s="44" t="s">
        <v>4644</v>
      </c>
      <c r="F141" s="45" t="s">
        <v>4645</v>
      </c>
      <c r="G141" s="46"/>
      <c r="H141" s="44">
        <v>99</v>
      </c>
      <c r="I141" s="44">
        <v>99</v>
      </c>
      <c r="J141" s="49"/>
    </row>
    <row r="142" spans="1:10" s="50" customFormat="1" ht="31.5" x14ac:dyDescent="0.25">
      <c r="A142" s="39">
        <v>141</v>
      </c>
      <c r="B142" s="44" t="s">
        <v>4500</v>
      </c>
      <c r="C142" s="44" t="s">
        <v>4501</v>
      </c>
      <c r="D142" s="44" t="s">
        <v>298</v>
      </c>
      <c r="E142" s="44" t="s">
        <v>4646</v>
      </c>
      <c r="F142" s="45" t="s">
        <v>4647</v>
      </c>
      <c r="G142" s="46"/>
      <c r="H142" s="44">
        <v>396</v>
      </c>
      <c r="I142" s="44">
        <v>396</v>
      </c>
      <c r="J142" s="49"/>
    </row>
    <row r="143" spans="1:10" s="50" customFormat="1" x14ac:dyDescent="0.25">
      <c r="A143" s="39">
        <v>142</v>
      </c>
      <c r="B143" s="44" t="s">
        <v>4502</v>
      </c>
      <c r="C143" s="44" t="s">
        <v>4503</v>
      </c>
      <c r="D143" s="44" t="s">
        <v>298</v>
      </c>
      <c r="E143" s="44" t="s">
        <v>4648</v>
      </c>
      <c r="F143" s="45">
        <v>8119457818873</v>
      </c>
      <c r="G143" s="46">
        <v>130306161989</v>
      </c>
      <c r="H143" s="44">
        <v>131</v>
      </c>
      <c r="I143" s="44">
        <v>131</v>
      </c>
      <c r="J143" s="49"/>
    </row>
    <row r="144" spans="1:10" s="50" customFormat="1" x14ac:dyDescent="0.25">
      <c r="A144" s="39">
        <v>143</v>
      </c>
      <c r="B144" s="44" t="s">
        <v>4504</v>
      </c>
      <c r="C144" s="44" t="s">
        <v>4500</v>
      </c>
      <c r="D144" s="44" t="s">
        <v>298</v>
      </c>
      <c r="E144" s="48" t="s">
        <v>4649</v>
      </c>
      <c r="F144" s="45">
        <v>811945781</v>
      </c>
      <c r="G144" s="46"/>
      <c r="H144" s="48">
        <v>99</v>
      </c>
      <c r="I144" s="48">
        <v>99</v>
      </c>
      <c r="J144" s="49"/>
    </row>
    <row r="145" spans="1:10" s="50" customFormat="1" x14ac:dyDescent="0.25">
      <c r="A145" s="39">
        <v>144</v>
      </c>
      <c r="B145" s="44" t="s">
        <v>4505</v>
      </c>
      <c r="C145" s="44" t="s">
        <v>4298</v>
      </c>
      <c r="D145" s="44" t="s">
        <v>298</v>
      </c>
      <c r="E145" s="48" t="s">
        <v>4650</v>
      </c>
      <c r="F145" s="45" t="s">
        <v>4651</v>
      </c>
      <c r="G145" s="46"/>
      <c r="H145" s="48">
        <v>132</v>
      </c>
      <c r="I145" s="48">
        <v>132</v>
      </c>
      <c r="J145" s="49"/>
    </row>
    <row r="146" spans="1:10" s="50" customFormat="1" x14ac:dyDescent="0.25">
      <c r="A146" s="39">
        <v>145</v>
      </c>
      <c r="B146" s="48" t="s">
        <v>4506</v>
      </c>
      <c r="C146" s="44" t="s">
        <v>4507</v>
      </c>
      <c r="D146" s="44" t="s">
        <v>298</v>
      </c>
      <c r="E146" s="48" t="s">
        <v>4652</v>
      </c>
      <c r="F146" s="45" t="s">
        <v>4653</v>
      </c>
      <c r="G146" s="46"/>
      <c r="H146" s="48">
        <v>36</v>
      </c>
      <c r="I146" s="48">
        <v>36</v>
      </c>
      <c r="J146" s="49"/>
    </row>
    <row r="147" spans="1:10" s="50" customFormat="1" ht="31.5" x14ac:dyDescent="0.25">
      <c r="A147" s="39">
        <v>146</v>
      </c>
      <c r="B147" s="44" t="s">
        <v>4508</v>
      </c>
      <c r="C147" s="44" t="s">
        <v>4509</v>
      </c>
      <c r="D147" s="44" t="s">
        <v>298</v>
      </c>
      <c r="E147" s="48" t="s">
        <v>4654</v>
      </c>
      <c r="F147" s="45">
        <v>8119457818881</v>
      </c>
      <c r="G147" s="46">
        <v>130306161972</v>
      </c>
      <c r="H147" s="48">
        <v>142</v>
      </c>
      <c r="I147" s="48">
        <v>142</v>
      </c>
      <c r="J147" s="49"/>
    </row>
    <row r="148" spans="1:10" s="50" customFormat="1" x14ac:dyDescent="0.25">
      <c r="A148" s="39">
        <v>147</v>
      </c>
      <c r="B148" s="44" t="s">
        <v>7</v>
      </c>
      <c r="C148" s="44" t="s">
        <v>1467</v>
      </c>
      <c r="D148" s="44" t="s">
        <v>298</v>
      </c>
      <c r="E148" s="48" t="s">
        <v>4655</v>
      </c>
      <c r="F148" s="45">
        <v>8119457818879</v>
      </c>
      <c r="G148" s="46">
        <v>130306161971</v>
      </c>
      <c r="H148" s="48">
        <v>82</v>
      </c>
      <c r="I148" s="48">
        <v>82</v>
      </c>
      <c r="J148" s="49"/>
    </row>
    <row r="149" spans="1:10" s="50" customFormat="1" x14ac:dyDescent="0.25">
      <c r="A149" s="39">
        <v>148</v>
      </c>
      <c r="B149" s="44" t="s">
        <v>34</v>
      </c>
      <c r="C149" s="44" t="s">
        <v>1467</v>
      </c>
      <c r="D149" s="44" t="s">
        <v>298</v>
      </c>
      <c r="E149" s="48" t="s">
        <v>4656</v>
      </c>
      <c r="F149" s="45">
        <v>8119457818883</v>
      </c>
      <c r="G149" s="46">
        <v>130306161969</v>
      </c>
      <c r="H149" s="48">
        <v>132</v>
      </c>
      <c r="I149" s="48">
        <v>132</v>
      </c>
      <c r="J149" s="49"/>
    </row>
    <row r="150" spans="1:10" s="50" customFormat="1" x14ac:dyDescent="0.25">
      <c r="A150" s="39">
        <v>149</v>
      </c>
      <c r="B150" s="44" t="s">
        <v>4510</v>
      </c>
      <c r="C150" s="44" t="s">
        <v>4511</v>
      </c>
      <c r="D150" s="44" t="s">
        <v>298</v>
      </c>
      <c r="E150" s="48" t="s">
        <v>4657</v>
      </c>
      <c r="F150" s="45">
        <v>8119457818888</v>
      </c>
      <c r="G150" s="46">
        <v>130306162063</v>
      </c>
      <c r="H150" s="48">
        <v>115</v>
      </c>
      <c r="I150" s="48">
        <v>115</v>
      </c>
      <c r="J150" s="49"/>
    </row>
    <row r="151" spans="1:10" s="50" customFormat="1" x14ac:dyDescent="0.25">
      <c r="A151" s="39">
        <v>150</v>
      </c>
      <c r="B151" s="44" t="s">
        <v>4512</v>
      </c>
      <c r="C151" s="44" t="s">
        <v>4510</v>
      </c>
      <c r="D151" s="44" t="s">
        <v>298</v>
      </c>
      <c r="E151" s="48" t="s">
        <v>4658</v>
      </c>
      <c r="F151" s="45">
        <v>8119457818890</v>
      </c>
      <c r="G151" s="46"/>
      <c r="H151" s="48">
        <v>104</v>
      </c>
      <c r="I151" s="48">
        <v>104</v>
      </c>
      <c r="J151" s="49"/>
    </row>
    <row r="152" spans="1:10" s="50" customFormat="1" x14ac:dyDescent="0.25">
      <c r="A152" s="39">
        <v>151</v>
      </c>
      <c r="B152" s="44" t="s">
        <v>4513</v>
      </c>
      <c r="C152" s="44" t="s">
        <v>4514</v>
      </c>
      <c r="D152" s="44" t="s">
        <v>298</v>
      </c>
      <c r="E152" s="48" t="s">
        <v>4659</v>
      </c>
      <c r="F152" s="45">
        <v>8119457818886</v>
      </c>
      <c r="G152" s="46">
        <v>130306161652</v>
      </c>
      <c r="H152" s="48">
        <v>115</v>
      </c>
      <c r="I152" s="48">
        <v>115</v>
      </c>
      <c r="J152" s="49"/>
    </row>
    <row r="153" spans="1:10" s="50" customFormat="1" ht="31.5" x14ac:dyDescent="0.25">
      <c r="A153" s="39">
        <v>152</v>
      </c>
      <c r="B153" s="44" t="s">
        <v>4515</v>
      </c>
      <c r="C153" s="44" t="s">
        <v>4516</v>
      </c>
      <c r="D153" s="44" t="s">
        <v>298</v>
      </c>
      <c r="E153" s="48" t="s">
        <v>4660</v>
      </c>
      <c r="F153" s="45">
        <v>8119457818851</v>
      </c>
      <c r="G153" s="46"/>
      <c r="H153" s="48">
        <v>198</v>
      </c>
      <c r="I153" s="48">
        <v>198</v>
      </c>
      <c r="J153" s="49"/>
    </row>
    <row r="154" spans="1:10" s="50" customFormat="1" x14ac:dyDescent="0.25">
      <c r="A154" s="39">
        <v>153</v>
      </c>
      <c r="B154" s="44" t="s">
        <v>4517</v>
      </c>
      <c r="C154" s="44" t="s">
        <v>4516</v>
      </c>
      <c r="D154" s="44" t="s">
        <v>298</v>
      </c>
      <c r="E154" s="48" t="s">
        <v>4661</v>
      </c>
      <c r="F154" s="45">
        <v>8119457818855</v>
      </c>
      <c r="G154" s="46"/>
      <c r="H154" s="48">
        <v>264</v>
      </c>
      <c r="I154" s="48">
        <v>264</v>
      </c>
      <c r="J154" s="49"/>
    </row>
    <row r="155" spans="1:10" s="50" customFormat="1" x14ac:dyDescent="0.25">
      <c r="A155" s="39">
        <v>154</v>
      </c>
      <c r="B155" s="44" t="s">
        <v>4518</v>
      </c>
      <c r="C155" s="44" t="s">
        <v>4519</v>
      </c>
      <c r="D155" s="44" t="s">
        <v>298</v>
      </c>
      <c r="E155" s="44" t="s">
        <v>4662</v>
      </c>
      <c r="F155" s="45">
        <v>8119457818844</v>
      </c>
      <c r="G155" s="46">
        <v>130306161761</v>
      </c>
      <c r="H155" s="44">
        <v>231</v>
      </c>
      <c r="I155" s="44">
        <v>231</v>
      </c>
      <c r="J155" s="49"/>
    </row>
    <row r="156" spans="1:10" s="50" customFormat="1" ht="25.5" customHeight="1" x14ac:dyDescent="0.25">
      <c r="A156" s="39">
        <v>155</v>
      </c>
      <c r="B156" s="44" t="s">
        <v>4520</v>
      </c>
      <c r="C156" s="44" t="s">
        <v>4521</v>
      </c>
      <c r="D156" s="44" t="s">
        <v>298</v>
      </c>
      <c r="E156" s="44" t="s">
        <v>4663</v>
      </c>
      <c r="F156" s="45">
        <v>8119457818842</v>
      </c>
      <c r="G156" s="46"/>
      <c r="H156" s="44">
        <v>395</v>
      </c>
      <c r="I156" s="44">
        <v>395</v>
      </c>
      <c r="J156" s="49"/>
    </row>
    <row r="157" spans="1:10" s="50" customFormat="1" ht="31.5" x14ac:dyDescent="0.25">
      <c r="A157" s="39">
        <v>156</v>
      </c>
      <c r="B157" s="44" t="s">
        <v>4522</v>
      </c>
      <c r="C157" s="44" t="s">
        <v>4521</v>
      </c>
      <c r="D157" s="44" t="s">
        <v>298</v>
      </c>
      <c r="E157" s="44" t="s">
        <v>4664</v>
      </c>
      <c r="F157" s="45">
        <v>8119457818840</v>
      </c>
      <c r="G157" s="46">
        <v>130306161762</v>
      </c>
      <c r="H157" s="44">
        <v>132</v>
      </c>
      <c r="I157" s="44">
        <v>132</v>
      </c>
      <c r="J157" s="49"/>
    </row>
    <row r="158" spans="1:10" s="50" customFormat="1" x14ac:dyDescent="0.25">
      <c r="A158" s="39">
        <v>157</v>
      </c>
      <c r="B158" s="44" t="s">
        <v>4523</v>
      </c>
      <c r="C158" s="44" t="s">
        <v>4524</v>
      </c>
      <c r="D158" s="44" t="s">
        <v>298</v>
      </c>
      <c r="E158" s="44" t="s">
        <v>4665</v>
      </c>
      <c r="F158" s="45">
        <v>8119457818611</v>
      </c>
      <c r="G158" s="46"/>
      <c r="H158" s="44">
        <v>104</v>
      </c>
      <c r="I158" s="44">
        <v>104</v>
      </c>
      <c r="J158" s="49"/>
    </row>
    <row r="159" spans="1:10" s="50" customFormat="1" x14ac:dyDescent="0.25">
      <c r="A159" s="39">
        <v>158</v>
      </c>
      <c r="B159" s="44" t="s">
        <v>4525</v>
      </c>
      <c r="C159" s="44" t="s">
        <v>4526</v>
      </c>
      <c r="D159" s="44" t="s">
        <v>298</v>
      </c>
      <c r="E159" s="44" t="s">
        <v>4666</v>
      </c>
      <c r="F159" s="45" t="s">
        <v>4667</v>
      </c>
      <c r="G159" s="46"/>
      <c r="H159" s="44">
        <v>71</v>
      </c>
      <c r="I159" s="44">
        <v>71</v>
      </c>
      <c r="J159" s="49"/>
    </row>
    <row r="160" spans="1:10" s="50" customFormat="1" x14ac:dyDescent="0.25">
      <c r="A160" s="39">
        <v>159</v>
      </c>
      <c r="B160" s="44" t="s">
        <v>4527</v>
      </c>
      <c r="C160" s="44" t="s">
        <v>4524</v>
      </c>
      <c r="D160" s="44" t="s">
        <v>298</v>
      </c>
      <c r="E160" s="44" t="s">
        <v>4668</v>
      </c>
      <c r="F160" s="45">
        <v>8119457818613</v>
      </c>
      <c r="G160" s="46">
        <v>130306161802</v>
      </c>
      <c r="H160" s="44">
        <v>71</v>
      </c>
      <c r="I160" s="44">
        <v>71</v>
      </c>
      <c r="J160" s="49"/>
    </row>
    <row r="161" spans="1:10" s="50" customFormat="1" x14ac:dyDescent="0.25">
      <c r="A161" s="39">
        <v>160</v>
      </c>
      <c r="B161" s="44" t="s">
        <v>4528</v>
      </c>
      <c r="C161" s="44" t="s">
        <v>4529</v>
      </c>
      <c r="D161" s="44" t="s">
        <v>298</v>
      </c>
      <c r="E161" s="44" t="s">
        <v>4669</v>
      </c>
      <c r="F161" s="45" t="s">
        <v>4670</v>
      </c>
      <c r="G161" s="46"/>
      <c r="H161" s="44">
        <v>76</v>
      </c>
      <c r="I161" s="44">
        <v>76</v>
      </c>
      <c r="J161" s="49"/>
    </row>
    <row r="162" spans="1:10" s="50" customFormat="1" x14ac:dyDescent="0.25">
      <c r="A162" s="39">
        <v>161</v>
      </c>
      <c r="B162" s="44" t="s">
        <v>4530</v>
      </c>
      <c r="C162" s="44" t="s">
        <v>4524</v>
      </c>
      <c r="D162" s="44" t="s">
        <v>298</v>
      </c>
      <c r="E162" s="44" t="s">
        <v>4671</v>
      </c>
      <c r="F162" s="45" t="s">
        <v>4672</v>
      </c>
      <c r="G162" s="46"/>
      <c r="H162" s="44">
        <v>82</v>
      </c>
      <c r="I162" s="44">
        <v>82</v>
      </c>
      <c r="J162" s="49"/>
    </row>
    <row r="163" spans="1:10" s="50" customFormat="1" x14ac:dyDescent="0.25">
      <c r="A163" s="39">
        <v>162</v>
      </c>
      <c r="B163" s="44" t="s">
        <v>4531</v>
      </c>
      <c r="C163" s="44" t="s">
        <v>4532</v>
      </c>
      <c r="D163" s="44" t="s">
        <v>298</v>
      </c>
      <c r="E163" s="44" t="s">
        <v>4673</v>
      </c>
      <c r="F163" s="45" t="s">
        <v>4674</v>
      </c>
      <c r="G163" s="46"/>
      <c r="H163" s="44">
        <v>99</v>
      </c>
      <c r="I163" s="44">
        <v>99</v>
      </c>
      <c r="J163" s="49"/>
    </row>
    <row r="164" spans="1:10" s="50" customFormat="1" x14ac:dyDescent="0.25">
      <c r="A164" s="39">
        <v>163</v>
      </c>
      <c r="B164" s="44" t="s">
        <v>4533</v>
      </c>
      <c r="C164" s="44" t="s">
        <v>4534</v>
      </c>
      <c r="D164" s="44" t="s">
        <v>298</v>
      </c>
      <c r="E164" s="44" t="s">
        <v>4675</v>
      </c>
      <c r="F164" s="45" t="s">
        <v>4676</v>
      </c>
      <c r="G164" s="46"/>
      <c r="H164" s="44">
        <v>165</v>
      </c>
      <c r="I164" s="44">
        <v>165</v>
      </c>
      <c r="J164" s="49"/>
    </row>
    <row r="165" spans="1:10" s="50" customFormat="1" x14ac:dyDescent="0.25">
      <c r="A165" s="39">
        <v>164</v>
      </c>
      <c r="B165" s="44" t="s">
        <v>4535</v>
      </c>
      <c r="C165" s="44" t="s">
        <v>4536</v>
      </c>
      <c r="D165" s="44" t="s">
        <v>298</v>
      </c>
      <c r="E165" s="44" t="s">
        <v>4675</v>
      </c>
      <c r="F165" s="45" t="s">
        <v>4677</v>
      </c>
      <c r="G165" s="46"/>
      <c r="H165" s="44">
        <v>82</v>
      </c>
      <c r="I165" s="44">
        <v>82</v>
      </c>
      <c r="J165" s="49"/>
    </row>
    <row r="166" spans="1:10" s="50" customFormat="1" x14ac:dyDescent="0.25">
      <c r="A166" s="39">
        <v>165</v>
      </c>
      <c r="B166" s="44" t="s">
        <v>4537</v>
      </c>
      <c r="C166" s="44" t="s">
        <v>4538</v>
      </c>
      <c r="D166" s="44" t="s">
        <v>298</v>
      </c>
      <c r="E166" s="44" t="s">
        <v>4678</v>
      </c>
      <c r="F166" s="45">
        <v>8119457818581</v>
      </c>
      <c r="G166" s="46">
        <v>130306161617</v>
      </c>
      <c r="H166" s="44">
        <v>198</v>
      </c>
      <c r="I166" s="44">
        <v>198</v>
      </c>
      <c r="J166" s="49"/>
    </row>
    <row r="167" spans="1:10" s="50" customFormat="1" x14ac:dyDescent="0.25">
      <c r="A167" s="39">
        <v>166</v>
      </c>
      <c r="B167" s="44" t="s">
        <v>952</v>
      </c>
      <c r="C167" s="44" t="s">
        <v>4539</v>
      </c>
      <c r="D167" s="44" t="s">
        <v>298</v>
      </c>
      <c r="E167" s="44" t="s">
        <v>4679</v>
      </c>
      <c r="F167" s="45" t="s">
        <v>4680</v>
      </c>
      <c r="G167" s="46"/>
      <c r="H167" s="44">
        <v>71</v>
      </c>
      <c r="I167" s="44">
        <v>71</v>
      </c>
      <c r="J167" s="49"/>
    </row>
    <row r="168" spans="1:10" s="50" customFormat="1" x14ac:dyDescent="0.25">
      <c r="A168" s="39">
        <v>167</v>
      </c>
      <c r="B168" s="44" t="s">
        <v>4540</v>
      </c>
      <c r="C168" s="44" t="s">
        <v>4539</v>
      </c>
      <c r="D168" s="44" t="s">
        <v>298</v>
      </c>
      <c r="E168" s="44" t="s">
        <v>4681</v>
      </c>
      <c r="F168" s="45">
        <v>8119457818623</v>
      </c>
      <c r="G168" s="46">
        <v>130306162117</v>
      </c>
      <c r="H168" s="44">
        <v>104</v>
      </c>
      <c r="I168" s="44">
        <v>104</v>
      </c>
      <c r="J168" s="49"/>
    </row>
    <row r="169" spans="1:10" s="50" customFormat="1" x14ac:dyDescent="0.25">
      <c r="A169" s="39">
        <v>168</v>
      </c>
      <c r="B169" s="44" t="s">
        <v>4541</v>
      </c>
      <c r="C169" s="44" t="s">
        <v>4542</v>
      </c>
      <c r="D169" s="44" t="s">
        <v>298</v>
      </c>
      <c r="E169" s="44" t="s">
        <v>4682</v>
      </c>
      <c r="F169" s="45">
        <v>8119457818573</v>
      </c>
      <c r="G169" s="46">
        <v>130306161810</v>
      </c>
      <c r="H169" s="44">
        <v>107</v>
      </c>
      <c r="I169" s="44">
        <v>107</v>
      </c>
      <c r="J169" s="49"/>
    </row>
    <row r="170" spans="1:10" s="50" customFormat="1" x14ac:dyDescent="0.25">
      <c r="A170" s="39">
        <v>169</v>
      </c>
      <c r="B170" s="44" t="s">
        <v>4543</v>
      </c>
      <c r="C170" s="44" t="s">
        <v>4544</v>
      </c>
      <c r="D170" s="44" t="s">
        <v>298</v>
      </c>
      <c r="E170" s="44" t="s">
        <v>4683</v>
      </c>
      <c r="F170" s="45" t="s">
        <v>4684</v>
      </c>
      <c r="G170" s="46"/>
      <c r="H170" s="44">
        <v>231</v>
      </c>
      <c r="I170" s="44">
        <v>231</v>
      </c>
      <c r="J170" s="49"/>
    </row>
    <row r="171" spans="1:10" s="50" customFormat="1" x14ac:dyDescent="0.25">
      <c r="A171" s="39">
        <v>170</v>
      </c>
      <c r="B171" s="44" t="s">
        <v>829</v>
      </c>
      <c r="C171" s="44" t="s">
        <v>4545</v>
      </c>
      <c r="D171" s="44" t="s">
        <v>298</v>
      </c>
      <c r="E171" s="44" t="s">
        <v>4685</v>
      </c>
      <c r="F171" s="45" t="s">
        <v>4686</v>
      </c>
      <c r="G171" s="46"/>
      <c r="H171" s="44">
        <v>38</v>
      </c>
      <c r="I171" s="44">
        <v>38</v>
      </c>
      <c r="J171" s="49"/>
    </row>
    <row r="172" spans="1:10" s="50" customFormat="1" x14ac:dyDescent="0.25">
      <c r="A172" s="39">
        <v>171</v>
      </c>
      <c r="B172" s="44" t="s">
        <v>4546</v>
      </c>
      <c r="C172" s="44" t="s">
        <v>4547</v>
      </c>
      <c r="D172" s="44" t="s">
        <v>298</v>
      </c>
      <c r="E172" s="44" t="s">
        <v>4687</v>
      </c>
      <c r="F172" s="45">
        <v>8119457818556</v>
      </c>
      <c r="G172" s="46">
        <v>130306161977</v>
      </c>
      <c r="H172" s="44">
        <v>33</v>
      </c>
      <c r="I172" s="44">
        <v>33</v>
      </c>
      <c r="J172" s="49"/>
    </row>
    <row r="173" spans="1:10" s="50" customFormat="1" x14ac:dyDescent="0.25">
      <c r="A173" s="39">
        <v>172</v>
      </c>
      <c r="B173" s="44" t="s">
        <v>4548</v>
      </c>
      <c r="C173" s="44" t="s">
        <v>4549</v>
      </c>
      <c r="D173" s="44" t="s">
        <v>298</v>
      </c>
      <c r="E173" s="44" t="s">
        <v>4688</v>
      </c>
      <c r="F173" s="45">
        <v>8119457818489</v>
      </c>
      <c r="G173" s="46">
        <v>130306161766</v>
      </c>
      <c r="H173" s="44">
        <v>66</v>
      </c>
      <c r="I173" s="44">
        <v>66</v>
      </c>
      <c r="J173" s="49"/>
    </row>
    <row r="174" spans="1:10" s="50" customFormat="1" x14ac:dyDescent="0.25">
      <c r="A174" s="39">
        <v>173</v>
      </c>
      <c r="B174" s="44" t="s">
        <v>4550</v>
      </c>
      <c r="C174" s="44" t="s">
        <v>4551</v>
      </c>
      <c r="D174" s="44" t="s">
        <v>298</v>
      </c>
      <c r="E174" s="44" t="s">
        <v>4689</v>
      </c>
      <c r="F174" s="45" t="s">
        <v>4690</v>
      </c>
      <c r="G174" s="46"/>
      <c r="H174" s="44">
        <v>82</v>
      </c>
      <c r="I174" s="44">
        <v>82</v>
      </c>
      <c r="J174" s="49"/>
    </row>
    <row r="175" spans="1:10" s="50" customFormat="1" x14ac:dyDescent="0.25">
      <c r="A175" s="39">
        <v>174</v>
      </c>
      <c r="B175" s="44" t="s">
        <v>444</v>
      </c>
      <c r="C175" s="44" t="s">
        <v>4552</v>
      </c>
      <c r="D175" s="44" t="s">
        <v>298</v>
      </c>
      <c r="E175" s="44" t="s">
        <v>4691</v>
      </c>
      <c r="F175" s="45" t="s">
        <v>4692</v>
      </c>
      <c r="G175" s="46"/>
      <c r="H175" s="44">
        <v>103</v>
      </c>
      <c r="I175" s="44">
        <v>103</v>
      </c>
      <c r="J175" s="49"/>
    </row>
    <row r="176" spans="1:10" s="50" customFormat="1" x14ac:dyDescent="0.25">
      <c r="A176" s="39">
        <v>175</v>
      </c>
      <c r="B176" s="44" t="s">
        <v>4553</v>
      </c>
      <c r="C176" s="44" t="s">
        <v>4554</v>
      </c>
      <c r="D176" s="44" t="s">
        <v>298</v>
      </c>
      <c r="E176" s="44" t="s">
        <v>4693</v>
      </c>
      <c r="F176" s="45" t="s">
        <v>4694</v>
      </c>
      <c r="G176" s="46"/>
      <c r="H176" s="44">
        <v>39</v>
      </c>
      <c r="I176" s="44">
        <v>39</v>
      </c>
      <c r="J176" s="49"/>
    </row>
    <row r="177" spans="1:10" s="50" customFormat="1" x14ac:dyDescent="0.25">
      <c r="A177" s="39">
        <v>176</v>
      </c>
      <c r="B177" s="44" t="s">
        <v>4555</v>
      </c>
      <c r="C177" s="44" t="s">
        <v>710</v>
      </c>
      <c r="D177" s="44" t="s">
        <v>298</v>
      </c>
      <c r="E177" s="44" t="s">
        <v>4695</v>
      </c>
      <c r="F177" s="45" t="s">
        <v>4696</v>
      </c>
      <c r="G177" s="46"/>
      <c r="H177" s="44">
        <v>39</v>
      </c>
      <c r="I177" s="44">
        <v>39</v>
      </c>
      <c r="J177" s="49"/>
    </row>
    <row r="178" spans="1:10" s="50" customFormat="1" x14ac:dyDescent="0.25">
      <c r="A178" s="39">
        <v>177</v>
      </c>
      <c r="B178" s="44" t="s">
        <v>4556</v>
      </c>
      <c r="C178" s="44" t="s">
        <v>4557</v>
      </c>
      <c r="D178" s="44" t="s">
        <v>298</v>
      </c>
      <c r="E178" s="44" t="s">
        <v>4697</v>
      </c>
      <c r="F178" s="45" t="s">
        <v>4698</v>
      </c>
      <c r="G178" s="46"/>
      <c r="H178" s="44">
        <v>33</v>
      </c>
      <c r="I178" s="44">
        <v>33</v>
      </c>
      <c r="J178" s="49"/>
    </row>
    <row r="179" spans="1:10" s="50" customFormat="1" x14ac:dyDescent="0.25">
      <c r="A179" s="39">
        <v>178</v>
      </c>
      <c r="B179" s="44" t="s">
        <v>4558</v>
      </c>
      <c r="C179" s="44" t="s">
        <v>4557</v>
      </c>
      <c r="D179" s="44" t="s">
        <v>298</v>
      </c>
      <c r="E179" s="44" t="s">
        <v>4699</v>
      </c>
      <c r="F179" s="45" t="s">
        <v>4700</v>
      </c>
      <c r="G179" s="46"/>
      <c r="H179" s="44">
        <v>38</v>
      </c>
      <c r="I179" s="44">
        <v>38</v>
      </c>
      <c r="J179" s="49"/>
    </row>
    <row r="180" spans="1:10" s="55" customFormat="1" x14ac:dyDescent="0.25">
      <c r="A180" s="39">
        <v>179</v>
      </c>
      <c r="B180" s="52" t="s">
        <v>1606</v>
      </c>
      <c r="C180" s="52" t="s">
        <v>1607</v>
      </c>
      <c r="D180" s="52" t="s">
        <v>298</v>
      </c>
      <c r="E180" s="52" t="str">
        <f>"০১৭১৭৩০৩৬০৮"</f>
        <v>০১৭১৭৩০৩৬০৮</v>
      </c>
      <c r="F180" s="53" t="str">
        <f>"8119457818713"</f>
        <v>8119457818713</v>
      </c>
      <c r="G180" s="52" t="str">
        <f>"১৮০৫"</f>
        <v>১৮০৫</v>
      </c>
      <c r="H180" s="52" t="s">
        <v>328</v>
      </c>
      <c r="I180" s="52" t="s">
        <v>328</v>
      </c>
      <c r="J180" s="54"/>
    </row>
    <row r="181" spans="1:10" s="55" customFormat="1" x14ac:dyDescent="0.25">
      <c r="A181" s="39">
        <v>180</v>
      </c>
      <c r="B181" s="52" t="s">
        <v>1608</v>
      </c>
      <c r="C181" s="52" t="s">
        <v>1609</v>
      </c>
      <c r="D181" s="52" t="s">
        <v>298</v>
      </c>
      <c r="E181" s="52" t="str">
        <f>"০"</f>
        <v>০</v>
      </c>
      <c r="F181" s="53" t="str">
        <f>"8119457818822"</f>
        <v>8119457818822</v>
      </c>
      <c r="G181" s="52" t="str">
        <f>"১৮০৩"</f>
        <v>১৮০৩</v>
      </c>
      <c r="H181" s="52" t="s">
        <v>330</v>
      </c>
      <c r="I181" s="52" t="s">
        <v>330</v>
      </c>
      <c r="J181" s="54"/>
    </row>
    <row r="182" spans="1:10" s="55" customFormat="1" x14ac:dyDescent="0.25">
      <c r="A182" s="39">
        <v>181</v>
      </c>
      <c r="B182" s="52" t="s">
        <v>1588</v>
      </c>
      <c r="C182" s="52" t="s">
        <v>1611</v>
      </c>
      <c r="D182" s="52" t="s">
        <v>297</v>
      </c>
      <c r="E182" s="52" t="str">
        <f>"০১৭২১৯১৩১৮১"</f>
        <v>০১৭২১৯১৩১৮১</v>
      </c>
      <c r="F182" s="53" t="str">
        <f>"8119457817960"</f>
        <v>8119457817960</v>
      </c>
      <c r="G182" s="52" t="str">
        <f>"১৭৮৬"</f>
        <v>১৭৮৬</v>
      </c>
      <c r="H182" s="52" t="s">
        <v>317</v>
      </c>
      <c r="I182" s="52" t="s">
        <v>317</v>
      </c>
      <c r="J182" s="54"/>
    </row>
    <row r="183" spans="1:10" s="55" customFormat="1" x14ac:dyDescent="0.25">
      <c r="A183" s="39">
        <v>182</v>
      </c>
      <c r="B183" s="52" t="s">
        <v>1612</v>
      </c>
      <c r="C183" s="52" t="s">
        <v>1613</v>
      </c>
      <c r="D183" s="52" t="s">
        <v>297</v>
      </c>
      <c r="E183" s="52" t="str">
        <f>"০১৭২৬১৬১৯২৬"</f>
        <v>০১৭২৬১৬১৯২৬</v>
      </c>
      <c r="F183" s="53" t="str">
        <f>"8119457818982"</f>
        <v>8119457818982</v>
      </c>
      <c r="G183" s="52" t="str">
        <f>"১৭৮৫"</f>
        <v>১৭৮৫</v>
      </c>
      <c r="H183" s="52" t="s">
        <v>323</v>
      </c>
      <c r="I183" s="52" t="s">
        <v>323</v>
      </c>
      <c r="J183" s="54"/>
    </row>
    <row r="184" spans="1:10" s="55" customFormat="1" x14ac:dyDescent="0.25">
      <c r="A184" s="39">
        <v>183</v>
      </c>
      <c r="B184" s="52" t="s">
        <v>1614</v>
      </c>
      <c r="C184" s="52" t="s">
        <v>1615</v>
      </c>
      <c r="D184" s="52" t="s">
        <v>297</v>
      </c>
      <c r="E184" s="52" t="str">
        <f>"০১৭৪০৮৬০৫৬১"</f>
        <v>০১৭৪০৮৬০৫৬১</v>
      </c>
      <c r="F184" s="53" t="str">
        <f>"8119457818970"</f>
        <v>8119457818970</v>
      </c>
      <c r="G184" s="52" t="str">
        <f>"১৭৮৪"</f>
        <v>১৭৮৪</v>
      </c>
      <c r="H184" s="52" t="s">
        <v>326</v>
      </c>
      <c r="I184" s="52" t="s">
        <v>326</v>
      </c>
      <c r="J184" s="54"/>
    </row>
    <row r="185" spans="1:10" s="55" customFormat="1" x14ac:dyDescent="0.25">
      <c r="A185" s="39">
        <v>184</v>
      </c>
      <c r="B185" s="52" t="s">
        <v>1616</v>
      </c>
      <c r="C185" s="52" t="s">
        <v>1617</v>
      </c>
      <c r="D185" s="52" t="s">
        <v>297</v>
      </c>
      <c r="E185" s="52" t="str">
        <f>"০১৮৬৮৯৭৫৭০১"</f>
        <v>০১৮৬৮৯৭৫৭০১</v>
      </c>
      <c r="F185" s="53" t="str">
        <f>"8119457818300"</f>
        <v>8119457818300</v>
      </c>
      <c r="G185" s="52" t="str">
        <f>"১৭৮৩"</f>
        <v>১৭৮৩</v>
      </c>
      <c r="H185" s="52" t="s">
        <v>331</v>
      </c>
      <c r="I185" s="52" t="s">
        <v>331</v>
      </c>
      <c r="J185" s="54"/>
    </row>
    <row r="186" spans="1:10" s="55" customFormat="1" x14ac:dyDescent="0.25">
      <c r="A186" s="39">
        <v>185</v>
      </c>
      <c r="B186" s="52" t="s">
        <v>1618</v>
      </c>
      <c r="C186" s="52" t="s">
        <v>1616</v>
      </c>
      <c r="D186" s="52" t="s">
        <v>297</v>
      </c>
      <c r="E186" s="52" t="str">
        <f>"০১৭২৭৫৪১২৬৪"</f>
        <v>০১৭২৭৫৪১২৬৪</v>
      </c>
      <c r="F186" s="53" t="str">
        <f>"8119457818301"</f>
        <v>8119457818301</v>
      </c>
      <c r="G186" s="52" t="str">
        <f>"১৭৮২"</f>
        <v>১৭৮২</v>
      </c>
      <c r="H186" s="52" t="s">
        <v>329</v>
      </c>
      <c r="I186" s="52" t="s">
        <v>329</v>
      </c>
      <c r="J186" s="54"/>
    </row>
    <row r="187" spans="1:10" s="55" customFormat="1" x14ac:dyDescent="0.25">
      <c r="A187" s="39">
        <v>186</v>
      </c>
      <c r="B187" s="52" t="s">
        <v>1619</v>
      </c>
      <c r="C187" s="52" t="s">
        <v>1620</v>
      </c>
      <c r="D187" s="52" t="s">
        <v>297</v>
      </c>
      <c r="E187" s="52" t="str">
        <f>"০১৭৭৪৩৫২২৫২"</f>
        <v>০১৭৭৪৩৫২২৫২</v>
      </c>
      <c r="F187" s="53" t="str">
        <f>"8119457818298"</f>
        <v>8119457818298</v>
      </c>
      <c r="G187" s="52" t="str">
        <f>"১৭৮১"</f>
        <v>১৭৮১</v>
      </c>
      <c r="H187" s="52" t="s">
        <v>332</v>
      </c>
      <c r="I187" s="52" t="s">
        <v>332</v>
      </c>
      <c r="J187" s="54"/>
    </row>
    <row r="188" spans="1:10" s="55" customFormat="1" x14ac:dyDescent="0.25">
      <c r="A188" s="39">
        <v>187</v>
      </c>
      <c r="B188" s="52" t="s">
        <v>1620</v>
      </c>
      <c r="C188" s="52" t="s">
        <v>1621</v>
      </c>
      <c r="D188" s="52" t="s">
        <v>297</v>
      </c>
      <c r="E188" s="52" t="str">
        <f>"০১৭২৫৮২০৮৩১"</f>
        <v>০১৭২৫৮২০৮৩১</v>
      </c>
      <c r="F188" s="53" t="str">
        <f>"8119457818297"</f>
        <v>8119457818297</v>
      </c>
      <c r="G188" s="52" t="str">
        <f>"১৭৮০"</f>
        <v>১৭৮০</v>
      </c>
      <c r="H188" s="52" t="s">
        <v>316</v>
      </c>
      <c r="I188" s="52" t="s">
        <v>316</v>
      </c>
      <c r="J188" s="54"/>
    </row>
    <row r="189" spans="1:10" s="55" customFormat="1" x14ac:dyDescent="0.25">
      <c r="A189" s="39">
        <v>188</v>
      </c>
      <c r="B189" s="52" t="s">
        <v>1622</v>
      </c>
      <c r="C189" s="52" t="s">
        <v>1623</v>
      </c>
      <c r="D189" s="52" t="s">
        <v>297</v>
      </c>
      <c r="E189" s="52" t="str">
        <f>"০১৯৫৭৯৯৬৫৮১"</f>
        <v>০১৯৫৭৯৯৬৫৮১</v>
      </c>
      <c r="F189" s="53" t="str">
        <f>"8119457818807"</f>
        <v>8119457818807</v>
      </c>
      <c r="G189" s="52" t="str">
        <f>"১৭৭৯"</f>
        <v>১৭৭৯</v>
      </c>
      <c r="H189" s="52" t="s">
        <v>330</v>
      </c>
      <c r="I189" s="52" t="s">
        <v>330</v>
      </c>
      <c r="J189" s="54"/>
    </row>
    <row r="190" spans="1:10" s="55" customFormat="1" x14ac:dyDescent="0.25">
      <c r="A190" s="39">
        <v>189</v>
      </c>
      <c r="B190" s="52" t="s">
        <v>1624</v>
      </c>
      <c r="C190" s="52" t="s">
        <v>1625</v>
      </c>
      <c r="D190" s="52" t="s">
        <v>297</v>
      </c>
      <c r="E190" s="52" t="str">
        <f>"০১৮৬৯৯৩৬৯৩৫"</f>
        <v>০১৮৬৯৯৩৬৯৩৫</v>
      </c>
      <c r="F190" s="53" t="str">
        <f>"8119457818237"</f>
        <v>8119457818237</v>
      </c>
      <c r="G190" s="52" t="str">
        <f>"১৭৭৮"</f>
        <v>১৭৭৮</v>
      </c>
      <c r="H190" s="52" t="s">
        <v>333</v>
      </c>
      <c r="I190" s="52" t="s">
        <v>333</v>
      </c>
      <c r="J190" s="54"/>
    </row>
    <row r="191" spans="1:10" s="55" customFormat="1" x14ac:dyDescent="0.25">
      <c r="A191" s="39">
        <v>190</v>
      </c>
      <c r="B191" s="52" t="s">
        <v>1626</v>
      </c>
      <c r="C191" s="52" t="s">
        <v>1627</v>
      </c>
      <c r="D191" s="52" t="s">
        <v>297</v>
      </c>
      <c r="E191" s="52" t="str">
        <f>"০১৭৭২৮৫৫৮৮৬"</f>
        <v>০১৭৭২৮৫৫৮৮৬</v>
      </c>
      <c r="F191" s="53" t="str">
        <f>"8119457818154"</f>
        <v>8119457818154</v>
      </c>
      <c r="G191" s="52" t="str">
        <f>"১৭৭৭"</f>
        <v>১৭৭৭</v>
      </c>
      <c r="H191" s="52" t="s">
        <v>319</v>
      </c>
      <c r="I191" s="52" t="s">
        <v>319</v>
      </c>
      <c r="J191" s="54"/>
    </row>
    <row r="192" spans="1:10" s="55" customFormat="1" x14ac:dyDescent="0.25">
      <c r="A192" s="39">
        <v>191</v>
      </c>
      <c r="B192" s="52" t="s">
        <v>1628</v>
      </c>
      <c r="C192" s="52" t="s">
        <v>1629</v>
      </c>
      <c r="D192" s="52" t="s">
        <v>297</v>
      </c>
      <c r="E192" s="52" t="str">
        <f>"০১৭৩৭৯১৭৮৭৯"</f>
        <v>০১৭৩৭৯১৭৮৭৯</v>
      </c>
      <c r="F192" s="53" t="str">
        <f>"8119457819025"</f>
        <v>8119457819025</v>
      </c>
      <c r="G192" s="52" t="str">
        <f>"১৭৭৬"</f>
        <v>১৭৭৬</v>
      </c>
      <c r="H192" s="52" t="s">
        <v>322</v>
      </c>
      <c r="I192" s="52" t="s">
        <v>322</v>
      </c>
      <c r="J192" s="54"/>
    </row>
    <row r="193" spans="1:10" s="55" customFormat="1" x14ac:dyDescent="0.25">
      <c r="A193" s="39">
        <v>192</v>
      </c>
      <c r="B193" s="52" t="s">
        <v>1630</v>
      </c>
      <c r="C193" s="52" t="s">
        <v>1631</v>
      </c>
      <c r="D193" s="52" t="s">
        <v>297</v>
      </c>
      <c r="E193" s="52" t="str">
        <f>"০১৭২৮৩৯৪৭১৭"</f>
        <v>০১৭২৮৩৯৪৭১৭</v>
      </c>
      <c r="F193" s="53" t="str">
        <f>"8119457818718"</f>
        <v>8119457818718</v>
      </c>
      <c r="G193" s="52" t="str">
        <f>"১৭৭৫"</f>
        <v>১৭৭৫</v>
      </c>
      <c r="H193" s="52" t="s">
        <v>319</v>
      </c>
      <c r="I193" s="52" t="s">
        <v>319</v>
      </c>
      <c r="J193" s="54"/>
    </row>
    <row r="194" spans="1:10" s="55" customFormat="1" x14ac:dyDescent="0.25">
      <c r="A194" s="39">
        <v>193</v>
      </c>
      <c r="B194" s="52" t="s">
        <v>1632</v>
      </c>
      <c r="C194" s="52" t="s">
        <v>176</v>
      </c>
      <c r="D194" s="52" t="s">
        <v>297</v>
      </c>
      <c r="E194" s="52" t="str">
        <f>"০১৭৫২৪০২১১৮"</f>
        <v>০১৭৫২৪০২১১৮</v>
      </c>
      <c r="F194" s="53" t="str">
        <f>"8119457818193"</f>
        <v>8119457818193</v>
      </c>
      <c r="G194" s="52" t="str">
        <f>"১৭৭৪"</f>
        <v>১৭৭৪</v>
      </c>
      <c r="H194" s="52" t="s">
        <v>315</v>
      </c>
      <c r="I194" s="52" t="s">
        <v>315</v>
      </c>
      <c r="J194" s="54"/>
    </row>
    <row r="195" spans="1:10" s="55" customFormat="1" x14ac:dyDescent="0.25">
      <c r="A195" s="39">
        <v>194</v>
      </c>
      <c r="B195" s="52" t="s">
        <v>1633</v>
      </c>
      <c r="C195" s="52" t="s">
        <v>1634</v>
      </c>
      <c r="D195" s="52" t="s">
        <v>297</v>
      </c>
      <c r="E195" s="52" t="str">
        <f>"০১৭৫৪৪৫৮৭৩৪"</f>
        <v>০১৭৫৪৪৫৮৭৩৪</v>
      </c>
      <c r="F195" s="53" t="str">
        <f>"8119457818201"</f>
        <v>8119457818201</v>
      </c>
      <c r="G195" s="52" t="str">
        <f>"১৭৭৩"</f>
        <v>১৭৭৩</v>
      </c>
      <c r="H195" s="52" t="s">
        <v>316</v>
      </c>
      <c r="I195" s="52" t="s">
        <v>316</v>
      </c>
      <c r="J195" s="54"/>
    </row>
    <row r="196" spans="1:10" s="55" customFormat="1" x14ac:dyDescent="0.25">
      <c r="A196" s="39">
        <v>195</v>
      </c>
      <c r="B196" s="52" t="s">
        <v>1635</v>
      </c>
      <c r="C196" s="52" t="s">
        <v>1566</v>
      </c>
      <c r="D196" s="52" t="s">
        <v>297</v>
      </c>
      <c r="E196" s="52" t="str">
        <f>"০১৭৬৮৮১৭৯৫৪"</f>
        <v>০১৭৬৮৮১৭৯৫৪</v>
      </c>
      <c r="F196" s="53" t="str">
        <f>"8119457819144"</f>
        <v>8119457819144</v>
      </c>
      <c r="G196" s="52" t="str">
        <f>"১৭৭২"</f>
        <v>১৭৭২</v>
      </c>
      <c r="H196" s="52" t="s">
        <v>317</v>
      </c>
      <c r="I196" s="52" t="s">
        <v>317</v>
      </c>
      <c r="J196" s="54"/>
    </row>
    <row r="197" spans="1:10" s="55" customFormat="1" x14ac:dyDescent="0.25">
      <c r="A197" s="39">
        <v>196</v>
      </c>
      <c r="B197" s="52" t="s">
        <v>1636</v>
      </c>
      <c r="C197" s="52" t="s">
        <v>1637</v>
      </c>
      <c r="D197" s="52" t="s">
        <v>297</v>
      </c>
      <c r="E197" s="52" t="str">
        <f>"০১৭৩৭৩১১১০"</f>
        <v>০১৭৩৭৩১১১০</v>
      </c>
      <c r="F197" s="53" t="str">
        <f>"8119457819459"</f>
        <v>8119457819459</v>
      </c>
      <c r="G197" s="52" t="str">
        <f>"১৭৭১"</f>
        <v>১৭৭১</v>
      </c>
      <c r="H197" s="52" t="s">
        <v>318</v>
      </c>
      <c r="I197" s="52" t="s">
        <v>318</v>
      </c>
      <c r="J197" s="54"/>
    </row>
    <row r="198" spans="1:10" s="55" customFormat="1" x14ac:dyDescent="0.25">
      <c r="A198" s="39">
        <v>197</v>
      </c>
      <c r="B198" s="52" t="s">
        <v>1638</v>
      </c>
      <c r="C198" s="52" t="s">
        <v>1639</v>
      </c>
      <c r="D198" s="52" t="s">
        <v>297</v>
      </c>
      <c r="E198" s="52" t="str">
        <f>"০১৭২১১০২৭৪০"</f>
        <v>০১৭২১১০২৭৪০</v>
      </c>
      <c r="F198" s="53" t="str">
        <f>"8119457817857"</f>
        <v>8119457817857</v>
      </c>
      <c r="G198" s="52" t="str">
        <f>"১৭৭০"</f>
        <v>১৭৭০</v>
      </c>
      <c r="H198" s="52" t="s">
        <v>319</v>
      </c>
      <c r="I198" s="52" t="s">
        <v>319</v>
      </c>
      <c r="J198" s="54"/>
    </row>
    <row r="199" spans="1:10" s="55" customFormat="1" x14ac:dyDescent="0.25">
      <c r="A199" s="39">
        <v>198</v>
      </c>
      <c r="B199" s="52" t="s">
        <v>1640</v>
      </c>
      <c r="C199" s="52" t="s">
        <v>1641</v>
      </c>
      <c r="D199" s="52" t="s">
        <v>297</v>
      </c>
      <c r="E199" s="52" t="str">
        <f>"০১৮৩৬১৮০৭৭৫"</f>
        <v>০১৮৩৬১৮০৭৭৫</v>
      </c>
      <c r="F199" s="53" t="str">
        <f>"8119457819276"</f>
        <v>8119457819276</v>
      </c>
      <c r="G199" s="52" t="str">
        <f>"১৭৬৯"</f>
        <v>১৭৬৯</v>
      </c>
      <c r="H199" s="52" t="s">
        <v>320</v>
      </c>
      <c r="I199" s="52" t="s">
        <v>320</v>
      </c>
      <c r="J199" s="54"/>
    </row>
    <row r="200" spans="1:10" s="55" customFormat="1" x14ac:dyDescent="0.25">
      <c r="A200" s="39">
        <v>199</v>
      </c>
      <c r="B200" s="52" t="s">
        <v>1547</v>
      </c>
      <c r="C200" s="52" t="s">
        <v>1642</v>
      </c>
      <c r="D200" s="52" t="s">
        <v>297</v>
      </c>
      <c r="E200" s="52" t="str">
        <f>"০"</f>
        <v>০</v>
      </c>
      <c r="F200" s="53" t="str">
        <f>"8119457817829"</f>
        <v>8119457817829</v>
      </c>
      <c r="G200" s="52" t="str">
        <f>"১৭৬৮"</f>
        <v>১৭৬৮</v>
      </c>
      <c r="H200" s="52" t="s">
        <v>315</v>
      </c>
      <c r="I200" s="52" t="s">
        <v>315</v>
      </c>
      <c r="J200" s="54"/>
    </row>
    <row r="201" spans="1:10" s="55" customFormat="1" x14ac:dyDescent="0.25">
      <c r="A201" s="39">
        <v>200</v>
      </c>
      <c r="B201" s="52" t="s">
        <v>1643</v>
      </c>
      <c r="C201" s="52" t="s">
        <v>1644</v>
      </c>
      <c r="D201" s="52" t="s">
        <v>297</v>
      </c>
      <c r="E201" s="52" t="str">
        <f>"০১৭২৩৩৪০৭৯৯"</f>
        <v>০১৭২৩৩৪০৭৯৯</v>
      </c>
      <c r="F201" s="53" t="str">
        <f>"8119457818490"</f>
        <v>8119457818490</v>
      </c>
      <c r="G201" s="52" t="str">
        <f>"১৭৬৭"</f>
        <v>১৭৬৭</v>
      </c>
      <c r="H201" s="52" t="s">
        <v>313</v>
      </c>
      <c r="I201" s="52" t="s">
        <v>313</v>
      </c>
      <c r="J201" s="54"/>
    </row>
    <row r="202" spans="1:10" x14ac:dyDescent="0.25">
      <c r="A202" s="39">
        <v>201</v>
      </c>
      <c r="B202" s="3" t="s">
        <v>1645</v>
      </c>
      <c r="C202" s="75" t="s">
        <v>1646</v>
      </c>
      <c r="D202" s="75" t="s">
        <v>297</v>
      </c>
      <c r="E202" s="75" t="str">
        <f>"০১৭৩৫৯৫৩৮৮১"</f>
        <v>০১৭৩৫৯৫৩৮৮১</v>
      </c>
      <c r="F202" s="22" t="str">
        <f>"8119457819090"</f>
        <v>8119457819090</v>
      </c>
      <c r="G202" s="75" t="str">
        <f>"১৭৬৫"</f>
        <v>১৭৬৫</v>
      </c>
      <c r="H202" s="75" t="s">
        <v>321</v>
      </c>
      <c r="I202" s="75" t="s">
        <v>321</v>
      </c>
      <c r="J202" s="4"/>
    </row>
    <row r="203" spans="1:10" x14ac:dyDescent="0.25">
      <c r="A203" s="39">
        <v>202</v>
      </c>
      <c r="B203" s="3" t="s">
        <v>1647</v>
      </c>
      <c r="C203" s="75" t="s">
        <v>1648</v>
      </c>
      <c r="D203" s="75" t="s">
        <v>297</v>
      </c>
      <c r="E203" s="75" t="str">
        <f>"০১৭৭৪৫৪৭১৮৩"</f>
        <v>০১৭৭৪৫৪৭১৮৩</v>
      </c>
      <c r="F203" s="22" t="str">
        <f>"8119457819461"</f>
        <v>8119457819461</v>
      </c>
      <c r="G203" s="75" t="str">
        <f>"১৭৬৪"</f>
        <v>১৭৬৪</v>
      </c>
      <c r="H203" s="75" t="s">
        <v>322</v>
      </c>
      <c r="I203" s="75" t="s">
        <v>322</v>
      </c>
      <c r="J203" s="4"/>
    </row>
    <row r="204" spans="1:10" x14ac:dyDescent="0.25">
      <c r="A204" s="39">
        <v>203</v>
      </c>
      <c r="B204" s="3" t="s">
        <v>1533</v>
      </c>
      <c r="C204" s="75" t="s">
        <v>1649</v>
      </c>
      <c r="D204" s="75" t="s">
        <v>297</v>
      </c>
      <c r="E204" s="75" t="str">
        <f>"০১৭৩৯৫৬৭৬০৮"</f>
        <v>০১৭৩৯৫৬৭৬০৮</v>
      </c>
      <c r="F204" s="22" t="str">
        <f>"8119457818112"</f>
        <v>8119457818112</v>
      </c>
      <c r="G204" s="75" t="str">
        <f>"১৭৬৩"</f>
        <v>১৭৬৩</v>
      </c>
      <c r="H204" s="75" t="s">
        <v>314</v>
      </c>
      <c r="I204" s="75" t="s">
        <v>314</v>
      </c>
      <c r="J204" s="4"/>
    </row>
    <row r="205" spans="1:10" x14ac:dyDescent="0.25">
      <c r="A205" s="39">
        <v>204</v>
      </c>
      <c r="B205" s="3" t="s">
        <v>1650</v>
      </c>
      <c r="C205" s="75" t="s">
        <v>1634</v>
      </c>
      <c r="D205" s="75" t="s">
        <v>297</v>
      </c>
      <c r="E205" s="75" t="str">
        <f t="shared" ref="E205:E220" si="1">"০"</f>
        <v>০</v>
      </c>
      <c r="F205" s="22" t="str">
        <f>"8119457818693"</f>
        <v>8119457818693</v>
      </c>
      <c r="G205" s="75" t="str">
        <f>"১৭৬০"</f>
        <v>১৭৬০</v>
      </c>
      <c r="H205" s="75" t="s">
        <v>325</v>
      </c>
      <c r="I205" s="75" t="s">
        <v>325</v>
      </c>
      <c r="J205" s="4"/>
    </row>
    <row r="206" spans="1:10" x14ac:dyDescent="0.25">
      <c r="A206" s="39">
        <v>205</v>
      </c>
      <c r="B206" s="3" t="s">
        <v>1651</v>
      </c>
      <c r="C206" s="75" t="s">
        <v>1652</v>
      </c>
      <c r="D206" s="75" t="s">
        <v>297</v>
      </c>
      <c r="E206" s="75" t="str">
        <f t="shared" si="1"/>
        <v>০</v>
      </c>
      <c r="F206" s="22" t="str">
        <f>"8119457818694"</f>
        <v>8119457818694</v>
      </c>
      <c r="G206" s="75" t="str">
        <f>"১৭৫৯"</f>
        <v>১৭৫৯</v>
      </c>
      <c r="H206" s="75" t="s">
        <v>319</v>
      </c>
      <c r="I206" s="75" t="s">
        <v>319</v>
      </c>
      <c r="J206" s="4"/>
    </row>
    <row r="207" spans="1:10" x14ac:dyDescent="0.25">
      <c r="A207" s="39">
        <v>206</v>
      </c>
      <c r="B207" s="3" t="s">
        <v>1565</v>
      </c>
      <c r="C207" s="75" t="s">
        <v>1631</v>
      </c>
      <c r="D207" s="75" t="s">
        <v>297</v>
      </c>
      <c r="E207" s="75" t="str">
        <f t="shared" si="1"/>
        <v>০</v>
      </c>
      <c r="F207" s="22" t="str">
        <f>"8119457818720"</f>
        <v>8119457818720</v>
      </c>
      <c r="G207" s="75" t="str">
        <f>"১৭৫৭"</f>
        <v>১৭৫৭</v>
      </c>
      <c r="H207" s="75" t="s">
        <v>327</v>
      </c>
      <c r="I207" s="75" t="s">
        <v>327</v>
      </c>
      <c r="J207" s="4"/>
    </row>
    <row r="208" spans="1:10" x14ac:dyDescent="0.25">
      <c r="A208" s="39">
        <v>207</v>
      </c>
      <c r="B208" s="3" t="s">
        <v>1654</v>
      </c>
      <c r="C208" s="75" t="s">
        <v>1655</v>
      </c>
      <c r="D208" s="75" t="s">
        <v>297</v>
      </c>
      <c r="E208" s="75" t="str">
        <f t="shared" si="1"/>
        <v>০</v>
      </c>
      <c r="F208" s="22" t="str">
        <f>"8119457818260"</f>
        <v>8119457818260</v>
      </c>
      <c r="G208" s="75" t="str">
        <f>"১৭৫৪"</f>
        <v>১৭৫৪</v>
      </c>
      <c r="H208" s="75" t="s">
        <v>330</v>
      </c>
      <c r="I208" s="75" t="s">
        <v>330</v>
      </c>
      <c r="J208" s="4"/>
    </row>
    <row r="209" spans="1:10" x14ac:dyDescent="0.25">
      <c r="A209" s="39">
        <v>208</v>
      </c>
      <c r="B209" s="3" t="s">
        <v>1563</v>
      </c>
      <c r="C209" s="75" t="s">
        <v>1656</v>
      </c>
      <c r="D209" s="75" t="s">
        <v>297</v>
      </c>
      <c r="E209" s="75" t="str">
        <f t="shared" si="1"/>
        <v>০</v>
      </c>
      <c r="F209" s="22" t="str">
        <f>"8119457817862"</f>
        <v>8119457817862</v>
      </c>
      <c r="G209" s="75" t="str">
        <f>"১৭৫৩"</f>
        <v>১৭৫৩</v>
      </c>
      <c r="H209" s="75" t="s">
        <v>319</v>
      </c>
      <c r="I209" s="75" t="s">
        <v>319</v>
      </c>
      <c r="J209" s="4"/>
    </row>
    <row r="210" spans="1:10" x14ac:dyDescent="0.25">
      <c r="A210" s="39">
        <v>209</v>
      </c>
      <c r="B210" s="3" t="s">
        <v>1657</v>
      </c>
      <c r="C210" s="75" t="s">
        <v>1658</v>
      </c>
      <c r="D210" s="75" t="s">
        <v>297</v>
      </c>
      <c r="E210" s="75" t="str">
        <f t="shared" si="1"/>
        <v>০</v>
      </c>
      <c r="F210" s="22" t="str">
        <f>"8119457819190"</f>
        <v>8119457819190</v>
      </c>
      <c r="G210" s="75" t="str">
        <f>"১৭৫২"</f>
        <v>১৭৫২</v>
      </c>
      <c r="H210" s="75" t="s">
        <v>317</v>
      </c>
      <c r="I210" s="75" t="s">
        <v>317</v>
      </c>
      <c r="J210" s="4"/>
    </row>
    <row r="211" spans="1:10" x14ac:dyDescent="0.25">
      <c r="A211" s="39">
        <v>210</v>
      </c>
      <c r="B211" s="3" t="s">
        <v>1659</v>
      </c>
      <c r="C211" s="75" t="s">
        <v>1660</v>
      </c>
      <c r="D211" s="75" t="s">
        <v>297</v>
      </c>
      <c r="E211" s="75" t="str">
        <f t="shared" si="1"/>
        <v>০</v>
      </c>
      <c r="F211" s="22" t="str">
        <f>"8119457817847"</f>
        <v>8119457817847</v>
      </c>
      <c r="G211" s="75" t="str">
        <f>"১৭৫১"</f>
        <v>১৭৫১</v>
      </c>
      <c r="H211" s="75" t="s">
        <v>323</v>
      </c>
      <c r="I211" s="75" t="s">
        <v>323</v>
      </c>
      <c r="J211" s="4"/>
    </row>
    <row r="212" spans="1:10" x14ac:dyDescent="0.25">
      <c r="A212" s="39">
        <v>211</v>
      </c>
      <c r="B212" s="3" t="s">
        <v>1661</v>
      </c>
      <c r="C212" s="75" t="s">
        <v>1662</v>
      </c>
      <c r="D212" s="75" t="s">
        <v>297</v>
      </c>
      <c r="E212" s="75" t="str">
        <f t="shared" si="1"/>
        <v>০</v>
      </c>
      <c r="F212" s="22" t="str">
        <f>"8119457001987"</f>
        <v>8119457001987</v>
      </c>
      <c r="G212" s="75" t="str">
        <f>"১৭৫০"</f>
        <v>১৭৫০</v>
      </c>
      <c r="H212" s="75" t="s">
        <v>326</v>
      </c>
      <c r="I212" s="75" t="s">
        <v>326</v>
      </c>
      <c r="J212" s="4"/>
    </row>
    <row r="213" spans="1:10" x14ac:dyDescent="0.25">
      <c r="A213" s="39">
        <v>212</v>
      </c>
      <c r="B213" s="3" t="s">
        <v>1588</v>
      </c>
      <c r="C213" s="75" t="s">
        <v>1663</v>
      </c>
      <c r="D213" s="75" t="s">
        <v>297</v>
      </c>
      <c r="E213" s="75" t="str">
        <f t="shared" si="1"/>
        <v>০</v>
      </c>
      <c r="F213" s="22" t="str">
        <f>"8119457817946"</f>
        <v>8119457817946</v>
      </c>
      <c r="G213" s="75" t="str">
        <f>"১৭৪৯"</f>
        <v>১৭৪৯</v>
      </c>
      <c r="H213" s="75" t="s">
        <v>331</v>
      </c>
      <c r="I213" s="75" t="s">
        <v>331</v>
      </c>
      <c r="J213" s="4"/>
    </row>
    <row r="214" spans="1:10" x14ac:dyDescent="0.25">
      <c r="A214" s="39">
        <v>213</v>
      </c>
      <c r="B214" s="3" t="s">
        <v>1664</v>
      </c>
      <c r="C214" s="75" t="s">
        <v>1665</v>
      </c>
      <c r="D214" s="75" t="s">
        <v>297</v>
      </c>
      <c r="E214" s="75" t="str">
        <f t="shared" si="1"/>
        <v>০</v>
      </c>
      <c r="F214" s="22" t="str">
        <f>"8119457818949"</f>
        <v>8119457818949</v>
      </c>
      <c r="G214" s="75" t="str">
        <f>"১৭৪৮"</f>
        <v>১৭৪৮</v>
      </c>
      <c r="H214" s="75" t="s">
        <v>329</v>
      </c>
      <c r="I214" s="75" t="s">
        <v>329</v>
      </c>
      <c r="J214" s="4"/>
    </row>
    <row r="215" spans="1:10" x14ac:dyDescent="0.25">
      <c r="A215" s="39">
        <v>214</v>
      </c>
      <c r="B215" s="3" t="s">
        <v>1666</v>
      </c>
      <c r="C215" s="75" t="s">
        <v>1667</v>
      </c>
      <c r="D215" s="75" t="s">
        <v>297</v>
      </c>
      <c r="E215" s="75" t="str">
        <f t="shared" si="1"/>
        <v>০</v>
      </c>
      <c r="F215" s="22" t="str">
        <f>"8119457818067"</f>
        <v>8119457818067</v>
      </c>
      <c r="G215" s="75" t="str">
        <f>"১৭৪৭"</f>
        <v>১৭৪৭</v>
      </c>
      <c r="H215" s="75" t="s">
        <v>332</v>
      </c>
      <c r="I215" s="75" t="s">
        <v>332</v>
      </c>
      <c r="J215" s="4"/>
    </row>
    <row r="216" spans="1:10" x14ac:dyDescent="0.25">
      <c r="A216" s="39">
        <v>215</v>
      </c>
      <c r="B216" s="3" t="s">
        <v>1668</v>
      </c>
      <c r="C216" s="75" t="s">
        <v>1669</v>
      </c>
      <c r="D216" s="75" t="s">
        <v>297</v>
      </c>
      <c r="E216" s="75" t="str">
        <f t="shared" si="1"/>
        <v>০</v>
      </c>
      <c r="F216" s="22" t="str">
        <f>"8119457817972"</f>
        <v>8119457817972</v>
      </c>
      <c r="G216" s="75" t="str">
        <f>"১৭৪৬"</f>
        <v>১৭৪৬</v>
      </c>
      <c r="H216" s="75" t="s">
        <v>316</v>
      </c>
      <c r="I216" s="75" t="s">
        <v>316</v>
      </c>
      <c r="J216" s="4"/>
    </row>
    <row r="217" spans="1:10" x14ac:dyDescent="0.25">
      <c r="A217" s="39">
        <v>216</v>
      </c>
      <c r="B217" s="3" t="s">
        <v>1670</v>
      </c>
      <c r="C217" s="75" t="s">
        <v>1671</v>
      </c>
      <c r="D217" s="75" t="s">
        <v>297</v>
      </c>
      <c r="E217" s="75" t="str">
        <f t="shared" si="1"/>
        <v>০</v>
      </c>
      <c r="F217" s="22" t="str">
        <f>"8119457818111"</f>
        <v>8119457818111</v>
      </c>
      <c r="G217" s="75" t="str">
        <f>"১৭৪৫"</f>
        <v>১৭৪৫</v>
      </c>
      <c r="H217" s="75" t="s">
        <v>330</v>
      </c>
      <c r="I217" s="75" t="s">
        <v>330</v>
      </c>
      <c r="J217" s="4"/>
    </row>
    <row r="218" spans="1:10" x14ac:dyDescent="0.25">
      <c r="A218" s="39">
        <v>217</v>
      </c>
      <c r="B218" s="3" t="s">
        <v>1672</v>
      </c>
      <c r="C218" s="75" t="s">
        <v>1673</v>
      </c>
      <c r="D218" s="75" t="s">
        <v>297</v>
      </c>
      <c r="E218" s="75" t="str">
        <f t="shared" si="1"/>
        <v>০</v>
      </c>
      <c r="F218" s="22" t="str">
        <f>"8119457819031"</f>
        <v>8119457819031</v>
      </c>
      <c r="G218" s="75" t="str">
        <f>"১৭৪৪"</f>
        <v>১৭৪৪</v>
      </c>
      <c r="H218" s="75" t="s">
        <v>333</v>
      </c>
      <c r="I218" s="75" t="s">
        <v>333</v>
      </c>
      <c r="J218" s="4"/>
    </row>
    <row r="219" spans="1:10" x14ac:dyDescent="0.25">
      <c r="A219" s="39">
        <v>218</v>
      </c>
      <c r="B219" s="3" t="s">
        <v>1578</v>
      </c>
      <c r="C219" s="75" t="s">
        <v>1674</v>
      </c>
      <c r="D219" s="75" t="s">
        <v>297</v>
      </c>
      <c r="E219" s="75" t="str">
        <f t="shared" si="1"/>
        <v>০</v>
      </c>
      <c r="F219" s="22" t="str">
        <f>"8119457819081"</f>
        <v>8119457819081</v>
      </c>
      <c r="G219" s="75" t="str">
        <f>"১৭৪৩"</f>
        <v>১৭৪৩</v>
      </c>
      <c r="H219" s="75" t="s">
        <v>319</v>
      </c>
      <c r="I219" s="75" t="s">
        <v>319</v>
      </c>
      <c r="J219" s="4"/>
    </row>
    <row r="220" spans="1:10" x14ac:dyDescent="0.25">
      <c r="A220" s="39">
        <v>219</v>
      </c>
      <c r="B220" s="3" t="s">
        <v>1675</v>
      </c>
      <c r="C220" s="75" t="s">
        <v>1547</v>
      </c>
      <c r="D220" s="75" t="s">
        <v>297</v>
      </c>
      <c r="E220" s="75" t="str">
        <f t="shared" si="1"/>
        <v>০</v>
      </c>
      <c r="F220" s="22" t="str">
        <f>"8119457819508"</f>
        <v>8119457819508</v>
      </c>
      <c r="G220" s="75" t="str">
        <f>"১৭৪২"</f>
        <v>১৭৪২</v>
      </c>
      <c r="H220" s="75" t="s">
        <v>322</v>
      </c>
      <c r="I220" s="75" t="s">
        <v>322</v>
      </c>
      <c r="J220" s="4"/>
    </row>
    <row r="221" spans="1:10" x14ac:dyDescent="0.25">
      <c r="A221" s="39">
        <v>220</v>
      </c>
      <c r="B221" s="3" t="s">
        <v>1676</v>
      </c>
      <c r="C221" s="75" t="s">
        <v>1677</v>
      </c>
      <c r="D221" s="75" t="s">
        <v>297</v>
      </c>
      <c r="E221" s="75" t="str">
        <f>"০১৭২৪৬৬৮৮১৯"</f>
        <v>০১৭২৪৬৬৮৮১৯</v>
      </c>
      <c r="F221" s="22" t="str">
        <f>"8119457818015"</f>
        <v>8119457818015</v>
      </c>
      <c r="G221" s="75" t="str">
        <f>"১৭৪১"</f>
        <v>১৭৪১</v>
      </c>
      <c r="H221" s="75" t="s">
        <v>319</v>
      </c>
      <c r="I221" s="75" t="s">
        <v>319</v>
      </c>
      <c r="J221" s="4"/>
    </row>
    <row r="222" spans="1:10" x14ac:dyDescent="0.25">
      <c r="A222" s="39">
        <v>221</v>
      </c>
      <c r="B222" s="3" t="s">
        <v>1678</v>
      </c>
      <c r="C222" s="75" t="s">
        <v>1627</v>
      </c>
      <c r="D222" s="75" t="s">
        <v>297</v>
      </c>
      <c r="E222" s="75" t="str">
        <f>"০১৭২১৭০৫২৪৬"</f>
        <v>০১৭২১৭০৫২৪৬</v>
      </c>
      <c r="F222" s="22" t="str">
        <f>"8119457818151"</f>
        <v>8119457818151</v>
      </c>
      <c r="G222" s="75" t="str">
        <f>"১৭৪০"</f>
        <v>১৭৪০</v>
      </c>
      <c r="H222" s="75" t="s">
        <v>315</v>
      </c>
      <c r="I222" s="75" t="s">
        <v>315</v>
      </c>
      <c r="J222" s="4"/>
    </row>
    <row r="223" spans="1:10" x14ac:dyDescent="0.25">
      <c r="A223" s="39">
        <v>222</v>
      </c>
      <c r="B223" s="3" t="s">
        <v>1681</v>
      </c>
      <c r="C223" s="75" t="s">
        <v>1682</v>
      </c>
      <c r="D223" s="75" t="s">
        <v>297</v>
      </c>
      <c r="E223" s="75" t="str">
        <f>"০১৮৫৯৯৭৭৯৪৯"</f>
        <v>০১৮৫৯৯৭৭৯৪৯</v>
      </c>
      <c r="F223" s="22" t="str">
        <f>"8119457817906"</f>
        <v>8119457817906</v>
      </c>
      <c r="G223" s="75" t="str">
        <f>"১৭৩৮"</f>
        <v>১৭৩৮</v>
      </c>
      <c r="H223" s="75" t="s">
        <v>317</v>
      </c>
      <c r="I223" s="75" t="s">
        <v>317</v>
      </c>
      <c r="J223" s="4"/>
    </row>
    <row r="224" spans="1:10" x14ac:dyDescent="0.25">
      <c r="A224" s="39">
        <v>223</v>
      </c>
      <c r="B224" s="3" t="s">
        <v>1683</v>
      </c>
      <c r="C224" s="75" t="s">
        <v>1677</v>
      </c>
      <c r="D224" s="75" t="s">
        <v>297</v>
      </c>
      <c r="E224" s="75" t="str">
        <f>"০"</f>
        <v>০</v>
      </c>
      <c r="F224" s="22" t="str">
        <f>"8119457819454"</f>
        <v>8119457819454</v>
      </c>
      <c r="G224" s="75" t="str">
        <f>"১৭৩৭"</f>
        <v>১৭৩৭</v>
      </c>
      <c r="H224" s="75" t="s">
        <v>318</v>
      </c>
      <c r="I224" s="75" t="s">
        <v>318</v>
      </c>
      <c r="J224" s="4"/>
    </row>
    <row r="225" spans="1:10" x14ac:dyDescent="0.25">
      <c r="A225" s="39">
        <v>224</v>
      </c>
      <c r="B225" s="3" t="s">
        <v>1622</v>
      </c>
      <c r="C225" s="75" t="s">
        <v>1684</v>
      </c>
      <c r="D225" s="75" t="s">
        <v>297</v>
      </c>
      <c r="E225" s="75" t="str">
        <f>"০"</f>
        <v>০</v>
      </c>
      <c r="F225" s="22" t="str">
        <f>"8119457819087"</f>
        <v>8119457819087</v>
      </c>
      <c r="G225" s="75" t="str">
        <f>"১৭৩৬"</f>
        <v>১৭৩৬</v>
      </c>
      <c r="H225" s="75" t="s">
        <v>319</v>
      </c>
      <c r="I225" s="75" t="s">
        <v>319</v>
      </c>
      <c r="J225" s="4"/>
    </row>
    <row r="226" spans="1:10" x14ac:dyDescent="0.25">
      <c r="A226" s="39">
        <v>225</v>
      </c>
      <c r="B226" s="3" t="s">
        <v>1685</v>
      </c>
      <c r="C226" s="75" t="s">
        <v>1686</v>
      </c>
      <c r="D226" s="75" t="s">
        <v>297</v>
      </c>
      <c r="E226" s="75" t="str">
        <f>"০"</f>
        <v>০</v>
      </c>
      <c r="F226" s="22" t="str">
        <f>"8119457814321"</f>
        <v>8119457814321</v>
      </c>
      <c r="G226" s="75" t="str">
        <f>"১৭৩৫"</f>
        <v>১৭৩৫</v>
      </c>
      <c r="H226" s="75" t="s">
        <v>320</v>
      </c>
      <c r="I226" s="75" t="s">
        <v>320</v>
      </c>
      <c r="J226" s="4"/>
    </row>
    <row r="227" spans="1:10" x14ac:dyDescent="0.25">
      <c r="A227" s="39">
        <v>226</v>
      </c>
      <c r="B227" s="3" t="s">
        <v>1687</v>
      </c>
      <c r="C227" s="75" t="s">
        <v>1688</v>
      </c>
      <c r="D227" s="75" t="s">
        <v>297</v>
      </c>
      <c r="E227" s="75" t="str">
        <f>"০১৮৬৮৯৭৫৪৯০"</f>
        <v>০১৮৬৮৯৭৫৪৯০</v>
      </c>
      <c r="F227" s="22" t="str">
        <f>"8119457818537"</f>
        <v>8119457818537</v>
      </c>
      <c r="G227" s="75" t="str">
        <f>"১৭৩৪"</f>
        <v>১৭৩৪</v>
      </c>
      <c r="H227" s="75" t="s">
        <v>315</v>
      </c>
      <c r="I227" s="75" t="s">
        <v>315</v>
      </c>
      <c r="J227" s="4"/>
    </row>
    <row r="228" spans="1:10" x14ac:dyDescent="0.25">
      <c r="A228" s="39">
        <v>227</v>
      </c>
      <c r="B228" s="3" t="s">
        <v>1689</v>
      </c>
      <c r="C228" s="75" t="s">
        <v>1690</v>
      </c>
      <c r="D228" s="75" t="s">
        <v>297</v>
      </c>
      <c r="E228" s="75" t="str">
        <f>"০১৭৬২৫৯৮৫৩৭"</f>
        <v>০১৭৬২৫৯৮৫৩৭</v>
      </c>
      <c r="F228" s="22" t="str">
        <f>"8119457818170"</f>
        <v>8119457818170</v>
      </c>
      <c r="G228" s="75" t="str">
        <f>"১৭৩৩"</f>
        <v>১৭৩৩</v>
      </c>
      <c r="H228" s="75" t="s">
        <v>313</v>
      </c>
      <c r="I228" s="75" t="s">
        <v>313</v>
      </c>
      <c r="J228" s="4"/>
    </row>
    <row r="229" spans="1:10" x14ac:dyDescent="0.25">
      <c r="A229" s="39">
        <v>228</v>
      </c>
      <c r="B229" s="3" t="s">
        <v>1691</v>
      </c>
      <c r="C229" s="75" t="s">
        <v>1692</v>
      </c>
      <c r="D229" s="75" t="s">
        <v>297</v>
      </c>
      <c r="E229" s="75" t="str">
        <f>"০১৭৩৯৫৬৬৭০৮"</f>
        <v>০১৭৩৯৫৬৬৭০৮</v>
      </c>
      <c r="F229" s="22" t="str">
        <f>"8119457818130"</f>
        <v>8119457818130</v>
      </c>
      <c r="G229" s="75" t="str">
        <f>"১৭৩২"</f>
        <v>১৭৩২</v>
      </c>
      <c r="H229" s="75" t="s">
        <v>314</v>
      </c>
      <c r="I229" s="75" t="s">
        <v>314</v>
      </c>
      <c r="J229" s="4"/>
    </row>
    <row r="230" spans="1:10" x14ac:dyDescent="0.25">
      <c r="A230" s="39">
        <v>229</v>
      </c>
      <c r="B230" s="3" t="s">
        <v>1693</v>
      </c>
      <c r="C230" s="75" t="s">
        <v>1694</v>
      </c>
      <c r="D230" s="75" t="s">
        <v>297</v>
      </c>
      <c r="E230" s="75" t="str">
        <f>"০১৭৩৩৮৪৫৩৩৩"</f>
        <v>০১৭৩৩৮৪৫৩৩৩</v>
      </c>
      <c r="F230" s="22" t="str">
        <f>"8119457819705"</f>
        <v>8119457819705</v>
      </c>
      <c r="G230" s="75" t="str">
        <f>"১৭৩১"</f>
        <v>১৭৩১</v>
      </c>
      <c r="H230" s="75" t="s">
        <v>321</v>
      </c>
      <c r="I230" s="75" t="s">
        <v>321</v>
      </c>
      <c r="J230" s="4"/>
    </row>
    <row r="231" spans="1:10" x14ac:dyDescent="0.25">
      <c r="A231" s="39">
        <v>230</v>
      </c>
      <c r="B231" s="3" t="s">
        <v>1695</v>
      </c>
      <c r="C231" s="75" t="s">
        <v>1696</v>
      </c>
      <c r="D231" s="75" t="s">
        <v>297</v>
      </c>
      <c r="E231" s="75" t="str">
        <f>"০১৮২৮২২৬৮২৮"</f>
        <v>০১৮২৮২২৬৮২৮</v>
      </c>
      <c r="F231" s="22" t="str">
        <f>"8119457818155"</f>
        <v>8119457818155</v>
      </c>
      <c r="G231" s="75" t="str">
        <f>"১৭৩০"</f>
        <v>১৭৩০</v>
      </c>
      <c r="H231" s="75" t="s">
        <v>322</v>
      </c>
      <c r="I231" s="75" t="s">
        <v>322</v>
      </c>
      <c r="J231" s="4"/>
    </row>
    <row r="232" spans="1:10" x14ac:dyDescent="0.25">
      <c r="A232" s="39">
        <v>231</v>
      </c>
      <c r="B232" s="3" t="s">
        <v>1697</v>
      </c>
      <c r="C232" s="75" t="s">
        <v>1698</v>
      </c>
      <c r="D232" s="75" t="s">
        <v>297</v>
      </c>
      <c r="E232" s="75" t="str">
        <f>"০১৭৮৪০৯৪৩০৩"</f>
        <v>০১৭৮৪০৯৪৩০৩</v>
      </c>
      <c r="F232" s="22" t="str">
        <f>"8119457818145"</f>
        <v>8119457818145</v>
      </c>
      <c r="G232" s="75" t="str">
        <f>"১৭২৯"</f>
        <v>১৭২৯</v>
      </c>
      <c r="H232" s="75" t="s">
        <v>314</v>
      </c>
      <c r="I232" s="75" t="s">
        <v>314</v>
      </c>
      <c r="J232" s="4"/>
    </row>
    <row r="233" spans="1:10" x14ac:dyDescent="0.25">
      <c r="A233" s="39">
        <v>232</v>
      </c>
      <c r="B233" s="3" t="s">
        <v>1699</v>
      </c>
      <c r="C233" s="75" t="s">
        <v>1696</v>
      </c>
      <c r="D233" s="75" t="s">
        <v>297</v>
      </c>
      <c r="E233" s="75" t="str">
        <f>"০১৭৪৬০৭৬৫৫০"</f>
        <v>০১৭৪৬০৭৬৫৫০</v>
      </c>
      <c r="F233" s="22" t="str">
        <f>"8119457818337"</f>
        <v>8119457818337</v>
      </c>
      <c r="G233" s="75" t="str">
        <f>"১৭২৮"</f>
        <v>১৭২৮</v>
      </c>
      <c r="H233" s="75" t="s">
        <v>323</v>
      </c>
      <c r="I233" s="75" t="s">
        <v>323</v>
      </c>
      <c r="J233" s="4"/>
    </row>
    <row r="234" spans="1:10" x14ac:dyDescent="0.25">
      <c r="A234" s="39">
        <v>233</v>
      </c>
      <c r="B234" s="3" t="s">
        <v>1700</v>
      </c>
      <c r="C234" s="75" t="s">
        <v>1701</v>
      </c>
      <c r="D234" s="75" t="s">
        <v>297</v>
      </c>
      <c r="E234" s="75" t="str">
        <f>"০১৭১২৯৯০৭৬২"</f>
        <v>০১৭১২৯৯০৭৬২</v>
      </c>
      <c r="F234" s="22" t="str">
        <f>"8119457819217"</f>
        <v>8119457819217</v>
      </c>
      <c r="G234" s="75" t="str">
        <f>"১৭২৬"</f>
        <v>১৭২৬</v>
      </c>
      <c r="H234" s="75" t="s">
        <v>325</v>
      </c>
      <c r="I234" s="75" t="s">
        <v>325</v>
      </c>
      <c r="J234" s="4"/>
    </row>
    <row r="235" spans="1:10" x14ac:dyDescent="0.25">
      <c r="A235" s="39">
        <v>234</v>
      </c>
      <c r="B235" s="3" t="s">
        <v>1702</v>
      </c>
      <c r="C235" s="75" t="s">
        <v>1703</v>
      </c>
      <c r="D235" s="75" t="s">
        <v>297</v>
      </c>
      <c r="E235" s="75" t="str">
        <f>"০"</f>
        <v>০</v>
      </c>
      <c r="F235" s="22" t="str">
        <f>"8119457818195"</f>
        <v>8119457818195</v>
      </c>
      <c r="G235" s="75" t="str">
        <f>"১৭২৪"</f>
        <v>১৭২৪</v>
      </c>
      <c r="H235" s="75" t="s">
        <v>326</v>
      </c>
      <c r="I235" s="75" t="s">
        <v>326</v>
      </c>
      <c r="J235" s="4"/>
    </row>
    <row r="236" spans="1:10" x14ac:dyDescent="0.25">
      <c r="A236" s="39">
        <v>235</v>
      </c>
      <c r="B236" s="3" t="s">
        <v>1679</v>
      </c>
      <c r="C236" s="75" t="s">
        <v>1704</v>
      </c>
      <c r="D236" s="75" t="s">
        <v>297</v>
      </c>
      <c r="E236" s="75" t="str">
        <f>"০১৭৪৯৬৭৭৪৪৫"</f>
        <v>০১৭৪৯৬৭৭৪৪৫</v>
      </c>
      <c r="F236" s="22" t="str">
        <f>"8119457818180"</f>
        <v>8119457818180</v>
      </c>
      <c r="G236" s="75" t="str">
        <f>"১৭২৩"</f>
        <v>১৭২৩</v>
      </c>
      <c r="H236" s="75" t="s">
        <v>327</v>
      </c>
      <c r="I236" s="75" t="s">
        <v>327</v>
      </c>
      <c r="J236" s="4"/>
    </row>
    <row r="237" spans="1:10" x14ac:dyDescent="0.25">
      <c r="A237" s="39">
        <v>236</v>
      </c>
      <c r="B237" s="3" t="s">
        <v>1705</v>
      </c>
      <c r="C237" s="75" t="s">
        <v>1562</v>
      </c>
      <c r="D237" s="75" t="s">
        <v>297</v>
      </c>
      <c r="E237" s="75" t="str">
        <f>"০"</f>
        <v>০</v>
      </c>
      <c r="F237" s="22" t="str">
        <f>"8119457819440"</f>
        <v>8119457819440</v>
      </c>
      <c r="G237" s="75" t="str">
        <f>"১৭২২"</f>
        <v>১৭২২</v>
      </c>
      <c r="H237" s="75" t="s">
        <v>328</v>
      </c>
      <c r="I237" s="75" t="s">
        <v>328</v>
      </c>
      <c r="J237" s="4"/>
    </row>
    <row r="238" spans="1:10" x14ac:dyDescent="0.25">
      <c r="A238" s="39">
        <v>237</v>
      </c>
      <c r="B238" s="3" t="s">
        <v>1706</v>
      </c>
      <c r="C238" s="75" t="s">
        <v>1707</v>
      </c>
      <c r="D238" s="75" t="s">
        <v>297</v>
      </c>
      <c r="E238" s="75" t="str">
        <f>"০"</f>
        <v>০</v>
      </c>
      <c r="F238" s="22" t="str">
        <f>"8119457819237"</f>
        <v>8119457819237</v>
      </c>
      <c r="G238" s="75" t="str">
        <f>"১৭২১"</f>
        <v>১৭২১</v>
      </c>
      <c r="H238" s="75" t="s">
        <v>329</v>
      </c>
      <c r="I238" s="75" t="s">
        <v>329</v>
      </c>
      <c r="J238" s="4"/>
    </row>
    <row r="239" spans="1:10" x14ac:dyDescent="0.25">
      <c r="A239" s="39">
        <v>238</v>
      </c>
      <c r="B239" s="3" t="s">
        <v>1708</v>
      </c>
      <c r="C239" s="75" t="s">
        <v>1548</v>
      </c>
      <c r="D239" s="75" t="s">
        <v>297</v>
      </c>
      <c r="E239" s="75" t="str">
        <f>"০"</f>
        <v>০</v>
      </c>
      <c r="F239" s="22" t="str">
        <f>"8119457813521"</f>
        <v>8119457813521</v>
      </c>
      <c r="G239" s="75" t="str">
        <f>"১৭২০"</f>
        <v>১৭২০</v>
      </c>
      <c r="H239" s="75" t="s">
        <v>330</v>
      </c>
      <c r="I239" s="75" t="s">
        <v>330</v>
      </c>
      <c r="J239" s="4"/>
    </row>
    <row r="240" spans="1:10" x14ac:dyDescent="0.25">
      <c r="A240" s="39">
        <v>239</v>
      </c>
      <c r="B240" s="3" t="s">
        <v>1709</v>
      </c>
      <c r="C240" s="75" t="s">
        <v>1601</v>
      </c>
      <c r="D240" s="75" t="s">
        <v>297</v>
      </c>
      <c r="E240" s="75" t="str">
        <f>"০"</f>
        <v>০</v>
      </c>
      <c r="F240" s="22" t="str">
        <f>"8119457819340"</f>
        <v>8119457819340</v>
      </c>
      <c r="G240" s="75" t="str">
        <f>"১৭১৯"</f>
        <v>১৭১৯</v>
      </c>
      <c r="H240" s="75" t="s">
        <v>319</v>
      </c>
      <c r="I240" s="75" t="s">
        <v>319</v>
      </c>
      <c r="J240" s="4"/>
    </row>
    <row r="241" spans="1:10" x14ac:dyDescent="0.25">
      <c r="A241" s="39">
        <v>240</v>
      </c>
      <c r="B241" s="3" t="s">
        <v>1710</v>
      </c>
      <c r="C241" s="75" t="s">
        <v>1711</v>
      </c>
      <c r="D241" s="75" t="s">
        <v>297</v>
      </c>
      <c r="E241" s="75" t="str">
        <f>"০"</f>
        <v>০</v>
      </c>
      <c r="F241" s="22" t="str">
        <f>"8119457818235"</f>
        <v>8119457818235</v>
      </c>
      <c r="G241" s="75" t="str">
        <f>"১৭১৮"</f>
        <v>১৭১৮</v>
      </c>
      <c r="H241" s="75" t="s">
        <v>317</v>
      </c>
      <c r="I241" s="75" t="s">
        <v>317</v>
      </c>
      <c r="J241" s="4"/>
    </row>
    <row r="242" spans="1:10" x14ac:dyDescent="0.25">
      <c r="A242" s="39">
        <v>241</v>
      </c>
      <c r="B242" s="3" t="s">
        <v>1584</v>
      </c>
      <c r="C242" s="75" t="s">
        <v>1712</v>
      </c>
      <c r="D242" s="75" t="s">
        <v>297</v>
      </c>
      <c r="E242" s="75" t="str">
        <f>"০১৭২৭৩৭১৬৮৬"</f>
        <v>০১৭২৭৩৭১৬৮৬</v>
      </c>
      <c r="F242" s="22" t="str">
        <f>"8119457818068"</f>
        <v>8119457818068</v>
      </c>
      <c r="G242" s="75" t="str">
        <f>"১৭১৭"</f>
        <v>১৭১৭</v>
      </c>
      <c r="H242" s="75" t="s">
        <v>323</v>
      </c>
      <c r="I242" s="75" t="s">
        <v>323</v>
      </c>
      <c r="J242" s="4"/>
    </row>
    <row r="243" spans="1:10" x14ac:dyDescent="0.25">
      <c r="A243" s="39">
        <v>242</v>
      </c>
      <c r="B243" s="3" t="s">
        <v>1713</v>
      </c>
      <c r="C243" s="75" t="s">
        <v>1714</v>
      </c>
      <c r="D243" s="75" t="s">
        <v>297</v>
      </c>
      <c r="E243" s="75" t="str">
        <f>"০"</f>
        <v>০</v>
      </c>
      <c r="F243" s="22" t="str">
        <f>"8119457814046"</f>
        <v>8119457814046</v>
      </c>
      <c r="G243" s="75" t="str">
        <f>"১৭১৬"</f>
        <v>১৭১৬</v>
      </c>
      <c r="H243" s="75" t="s">
        <v>326</v>
      </c>
      <c r="I243" s="75" t="s">
        <v>326</v>
      </c>
      <c r="J243" s="4"/>
    </row>
    <row r="244" spans="1:10" x14ac:dyDescent="0.25">
      <c r="A244" s="39">
        <v>243</v>
      </c>
      <c r="B244" s="3" t="s">
        <v>1715</v>
      </c>
      <c r="C244" s="75" t="s">
        <v>1684</v>
      </c>
      <c r="D244" s="75" t="s">
        <v>297</v>
      </c>
      <c r="E244" s="75" t="str">
        <f>"০"</f>
        <v>০</v>
      </c>
      <c r="F244" s="22" t="str">
        <f>"8119457819193"</f>
        <v>8119457819193</v>
      </c>
      <c r="G244" s="75" t="str">
        <f>"১৭১৫"</f>
        <v>১৭১৫</v>
      </c>
      <c r="H244" s="75" t="s">
        <v>331</v>
      </c>
      <c r="I244" s="75" t="s">
        <v>331</v>
      </c>
      <c r="J244" s="4"/>
    </row>
    <row r="245" spans="1:10" x14ac:dyDescent="0.25">
      <c r="A245" s="39">
        <v>244</v>
      </c>
      <c r="B245" s="3" t="s">
        <v>1716</v>
      </c>
      <c r="C245" s="75" t="s">
        <v>1717</v>
      </c>
      <c r="D245" s="75" t="s">
        <v>297</v>
      </c>
      <c r="E245" s="75" t="str">
        <f>"০১৭৭৪৬২১০৬০"</f>
        <v>০১৭৭৪৬২১০৬০</v>
      </c>
      <c r="F245" s="22" t="str">
        <f>"8119457817877"</f>
        <v>8119457817877</v>
      </c>
      <c r="G245" s="75" t="str">
        <f>"১৭১৪"</f>
        <v>১৭১৪</v>
      </c>
      <c r="H245" s="75" t="s">
        <v>329</v>
      </c>
      <c r="I245" s="75" t="s">
        <v>329</v>
      </c>
      <c r="J245" s="4"/>
    </row>
    <row r="246" spans="1:10" x14ac:dyDescent="0.25">
      <c r="A246" s="39">
        <v>245</v>
      </c>
      <c r="B246" s="3" t="s">
        <v>1718</v>
      </c>
      <c r="C246" s="75" t="s">
        <v>1708</v>
      </c>
      <c r="D246" s="75" t="s">
        <v>297</v>
      </c>
      <c r="E246" s="75" t="str">
        <f>"০"</f>
        <v>০</v>
      </c>
      <c r="F246" s="22" t="str">
        <f>"8119457813522"</f>
        <v>8119457813522</v>
      </c>
      <c r="G246" s="75" t="str">
        <f>"১৭১৩"</f>
        <v>১৭১৩</v>
      </c>
      <c r="H246" s="75" t="s">
        <v>332</v>
      </c>
      <c r="I246" s="75" t="s">
        <v>332</v>
      </c>
      <c r="J246" s="4"/>
    </row>
    <row r="247" spans="1:10" x14ac:dyDescent="0.25">
      <c r="A247" s="39">
        <v>246</v>
      </c>
      <c r="B247" s="3" t="s">
        <v>1719</v>
      </c>
      <c r="C247" s="75" t="s">
        <v>1720</v>
      </c>
      <c r="D247" s="75" t="s">
        <v>297</v>
      </c>
      <c r="E247" s="75" t="str">
        <f>"০১৭২১১০২৭৪১"</f>
        <v>০১৭২১১০২৭৪১</v>
      </c>
      <c r="F247" s="22" t="str">
        <f>"8119457818262"</f>
        <v>8119457818262</v>
      </c>
      <c r="G247" s="75" t="str">
        <f>"১৭১২"</f>
        <v>১৭১২</v>
      </c>
      <c r="H247" s="75" t="s">
        <v>316</v>
      </c>
      <c r="I247" s="75" t="s">
        <v>316</v>
      </c>
      <c r="J247" s="4"/>
    </row>
    <row r="248" spans="1:10" x14ac:dyDescent="0.25">
      <c r="A248" s="39">
        <v>247</v>
      </c>
      <c r="B248" s="3" t="s">
        <v>1721</v>
      </c>
      <c r="C248" s="75" t="s">
        <v>1660</v>
      </c>
      <c r="D248" s="75" t="s">
        <v>297</v>
      </c>
      <c r="E248" s="75" t="str">
        <f>"০"</f>
        <v>০</v>
      </c>
      <c r="F248" s="22" t="str">
        <f>"8119457818053"</f>
        <v>8119457818053</v>
      </c>
      <c r="G248" s="75" t="str">
        <f>"১৭১১"</f>
        <v>১৭১১</v>
      </c>
      <c r="H248" s="75" t="s">
        <v>330</v>
      </c>
      <c r="I248" s="75" t="s">
        <v>330</v>
      </c>
      <c r="J248" s="4"/>
    </row>
    <row r="249" spans="1:10" x14ac:dyDescent="0.25">
      <c r="A249" s="39">
        <v>248</v>
      </c>
      <c r="B249" s="3" t="s">
        <v>1722</v>
      </c>
      <c r="C249" s="75" t="s">
        <v>1723</v>
      </c>
      <c r="D249" s="75" t="s">
        <v>297</v>
      </c>
      <c r="E249" s="75" t="str">
        <f>"০"</f>
        <v>০</v>
      </c>
      <c r="F249" s="22" t="str">
        <f>"8119457818051"</f>
        <v>8119457818051</v>
      </c>
      <c r="G249" s="75" t="str">
        <f>"১৭১০"</f>
        <v>১৭১০</v>
      </c>
      <c r="H249" s="75" t="s">
        <v>333</v>
      </c>
      <c r="I249" s="75" t="s">
        <v>333</v>
      </c>
      <c r="J249" s="4"/>
    </row>
    <row r="250" spans="1:10" x14ac:dyDescent="0.25">
      <c r="A250" s="39">
        <v>249</v>
      </c>
      <c r="B250" s="3" t="s">
        <v>1724</v>
      </c>
      <c r="C250" s="75" t="s">
        <v>1696</v>
      </c>
      <c r="D250" s="75" t="s">
        <v>297</v>
      </c>
      <c r="E250" s="75" t="str">
        <f>"০১৮২৮২২৬৮২৮"</f>
        <v>০১৮২৮২২৬৮২৮</v>
      </c>
      <c r="F250" s="22" t="str">
        <f>"8119457818311"</f>
        <v>8119457818311</v>
      </c>
      <c r="G250" s="75" t="str">
        <f>"১৭০৯"</f>
        <v>১৭০৯</v>
      </c>
      <c r="H250" s="75" t="s">
        <v>319</v>
      </c>
      <c r="I250" s="75" t="s">
        <v>319</v>
      </c>
      <c r="J250" s="4"/>
    </row>
    <row r="251" spans="1:10" x14ac:dyDescent="0.25">
      <c r="A251" s="39">
        <v>250</v>
      </c>
      <c r="B251" s="3" t="s">
        <v>1548</v>
      </c>
      <c r="C251" s="75" t="s">
        <v>1684</v>
      </c>
      <c r="D251" s="75" t="s">
        <v>297</v>
      </c>
      <c r="E251" s="75" t="str">
        <f t="shared" ref="E251:E259" si="2">"০"</f>
        <v>০</v>
      </c>
      <c r="F251" s="22" t="str">
        <f>"8119457819192"</f>
        <v>8119457819192</v>
      </c>
      <c r="G251" s="75" t="str">
        <f>"১৭০৭"</f>
        <v>১৭০৭</v>
      </c>
      <c r="H251" s="75" t="s">
        <v>319</v>
      </c>
      <c r="I251" s="75" t="s">
        <v>319</v>
      </c>
      <c r="J251" s="4"/>
    </row>
    <row r="252" spans="1:10" x14ac:dyDescent="0.25">
      <c r="A252" s="39">
        <v>251</v>
      </c>
      <c r="B252" s="3" t="s">
        <v>1725</v>
      </c>
      <c r="C252" s="75" t="s">
        <v>1662</v>
      </c>
      <c r="D252" s="75" t="s">
        <v>297</v>
      </c>
      <c r="E252" s="75" t="str">
        <f t="shared" si="2"/>
        <v>০</v>
      </c>
      <c r="F252" s="22" t="str">
        <f>"8119457819363"</f>
        <v>8119457819363</v>
      </c>
      <c r="G252" s="75" t="str">
        <f>"১৭০৬"</f>
        <v>১৭০৬</v>
      </c>
      <c r="H252" s="75" t="s">
        <v>313</v>
      </c>
      <c r="I252" s="75" t="s">
        <v>313</v>
      </c>
      <c r="J252" s="4"/>
    </row>
    <row r="253" spans="1:10" x14ac:dyDescent="0.25">
      <c r="A253" s="39">
        <v>252</v>
      </c>
      <c r="B253" s="3" t="s">
        <v>1726</v>
      </c>
      <c r="C253" s="75" t="s">
        <v>1727</v>
      </c>
      <c r="D253" s="75" t="s">
        <v>297</v>
      </c>
      <c r="E253" s="75" t="str">
        <f t="shared" si="2"/>
        <v>০</v>
      </c>
      <c r="F253" s="22" t="str">
        <f>"8119457000196"</f>
        <v>8119457000196</v>
      </c>
      <c r="G253" s="75" t="str">
        <f>"১৭০৫"</f>
        <v>১৭০৫</v>
      </c>
      <c r="H253" s="75" t="s">
        <v>314</v>
      </c>
      <c r="I253" s="75" t="s">
        <v>314</v>
      </c>
      <c r="J253" s="4"/>
    </row>
    <row r="254" spans="1:10" x14ac:dyDescent="0.25">
      <c r="A254" s="39">
        <v>253</v>
      </c>
      <c r="B254" s="3" t="s">
        <v>1728</v>
      </c>
      <c r="C254" s="75" t="s">
        <v>1636</v>
      </c>
      <c r="D254" s="75" t="s">
        <v>297</v>
      </c>
      <c r="E254" s="75" t="str">
        <f t="shared" si="2"/>
        <v>০</v>
      </c>
      <c r="F254" s="22" t="str">
        <f>"8119457819417"</f>
        <v>8119457819417</v>
      </c>
      <c r="G254" s="75" t="str">
        <f>"১৭০৪"</f>
        <v>১৭০৪</v>
      </c>
      <c r="H254" s="75" t="s">
        <v>315</v>
      </c>
      <c r="I254" s="75" t="s">
        <v>315</v>
      </c>
      <c r="J254" s="4"/>
    </row>
    <row r="255" spans="1:10" x14ac:dyDescent="0.25">
      <c r="A255" s="39">
        <v>254</v>
      </c>
      <c r="B255" s="3" t="s">
        <v>1729</v>
      </c>
      <c r="C255" s="75" t="s">
        <v>1566</v>
      </c>
      <c r="D255" s="75" t="s">
        <v>297</v>
      </c>
      <c r="E255" s="75" t="str">
        <f t="shared" si="2"/>
        <v>০</v>
      </c>
      <c r="F255" s="22" t="str">
        <f>"8119457819394"</f>
        <v>8119457819394</v>
      </c>
      <c r="G255" s="75" t="str">
        <f>"১৭০৩"</f>
        <v>১৭০৩</v>
      </c>
      <c r="H255" s="75" t="s">
        <v>316</v>
      </c>
      <c r="I255" s="75" t="s">
        <v>316</v>
      </c>
      <c r="J255" s="4"/>
    </row>
    <row r="256" spans="1:10" x14ac:dyDescent="0.25">
      <c r="A256" s="39">
        <v>255</v>
      </c>
      <c r="B256" s="3" t="s">
        <v>1730</v>
      </c>
      <c r="C256" s="75" t="s">
        <v>1731</v>
      </c>
      <c r="D256" s="75" t="s">
        <v>297</v>
      </c>
      <c r="E256" s="75" t="str">
        <f t="shared" si="2"/>
        <v>০</v>
      </c>
      <c r="F256" s="22" t="str">
        <f>"8119457819188"</f>
        <v>8119457819188</v>
      </c>
      <c r="G256" s="75" t="str">
        <f>"১৭০২"</f>
        <v>১৭০২</v>
      </c>
      <c r="H256" s="75" t="s">
        <v>317</v>
      </c>
      <c r="I256" s="75" t="s">
        <v>317</v>
      </c>
      <c r="J256" s="4"/>
    </row>
    <row r="257" spans="1:10" x14ac:dyDescent="0.25">
      <c r="A257" s="39">
        <v>256</v>
      </c>
      <c r="B257" s="3" t="s">
        <v>1732</v>
      </c>
      <c r="C257" s="75" t="s">
        <v>1733</v>
      </c>
      <c r="D257" s="75" t="s">
        <v>297</v>
      </c>
      <c r="E257" s="75" t="str">
        <f t="shared" si="2"/>
        <v>০</v>
      </c>
      <c r="F257" s="22" t="str">
        <f>"8119457819469"</f>
        <v>8119457819469</v>
      </c>
      <c r="G257" s="75" t="str">
        <f>"১৭০০"</f>
        <v>১৭০০</v>
      </c>
      <c r="H257" s="75" t="s">
        <v>319</v>
      </c>
      <c r="I257" s="75" t="s">
        <v>319</v>
      </c>
      <c r="J257" s="4"/>
    </row>
    <row r="258" spans="1:10" x14ac:dyDescent="0.25">
      <c r="A258" s="39">
        <v>257</v>
      </c>
      <c r="B258" s="3" t="s">
        <v>1734</v>
      </c>
      <c r="C258" s="75" t="s">
        <v>1735</v>
      </c>
      <c r="D258" s="75" t="s">
        <v>297</v>
      </c>
      <c r="E258" s="75" t="str">
        <f t="shared" si="2"/>
        <v>০</v>
      </c>
      <c r="F258" s="22" t="str">
        <f>"8119457819393"</f>
        <v>8119457819393</v>
      </c>
      <c r="G258" s="75" t="str">
        <f>"১৬৯৯"</f>
        <v>১৬৯৯</v>
      </c>
      <c r="H258" s="75" t="s">
        <v>320</v>
      </c>
      <c r="I258" s="75" t="s">
        <v>320</v>
      </c>
      <c r="J258" s="4"/>
    </row>
    <row r="259" spans="1:10" x14ac:dyDescent="0.25">
      <c r="A259" s="39">
        <v>258</v>
      </c>
      <c r="B259" s="3" t="s">
        <v>1736</v>
      </c>
      <c r="C259" s="75" t="s">
        <v>1669</v>
      </c>
      <c r="D259" s="75" t="s">
        <v>297</v>
      </c>
      <c r="E259" s="75" t="str">
        <f t="shared" si="2"/>
        <v>০</v>
      </c>
      <c r="F259" s="22" t="str">
        <f>"8119457817978"</f>
        <v>8119457817978</v>
      </c>
      <c r="G259" s="75" t="str">
        <f>"১৬৯৮"</f>
        <v>১৬৯৮</v>
      </c>
      <c r="H259" s="75" t="s">
        <v>315</v>
      </c>
      <c r="I259" s="75" t="s">
        <v>315</v>
      </c>
      <c r="J259" s="4"/>
    </row>
    <row r="260" spans="1:10" x14ac:dyDescent="0.25">
      <c r="A260" s="39">
        <v>259</v>
      </c>
      <c r="B260" s="3" t="s">
        <v>1737</v>
      </c>
      <c r="C260" s="75" t="s">
        <v>1698</v>
      </c>
      <c r="D260" s="75" t="s">
        <v>297</v>
      </c>
      <c r="E260" s="75" t="str">
        <f>"০১৭৭২৮৫৫৮৭৬"</f>
        <v>০১৭৭২৮৫৫৮৭৬</v>
      </c>
      <c r="F260" s="22" t="str">
        <f>"8119457818148"</f>
        <v>8119457818148</v>
      </c>
      <c r="G260" s="75" t="str">
        <f>"১৬৯৭"</f>
        <v>১৬৯৭</v>
      </c>
      <c r="H260" s="75" t="s">
        <v>313</v>
      </c>
      <c r="I260" s="75" t="s">
        <v>313</v>
      </c>
      <c r="J260" s="4"/>
    </row>
    <row r="261" spans="1:10" x14ac:dyDescent="0.25">
      <c r="A261" s="39">
        <v>260</v>
      </c>
      <c r="B261" s="3" t="s">
        <v>1719</v>
      </c>
      <c r="C261" s="75" t="s">
        <v>1738</v>
      </c>
      <c r="D261" s="75" t="s">
        <v>297</v>
      </c>
      <c r="E261" s="75" t="str">
        <f>"০১৭৫৮৪৩৪১৬০"</f>
        <v>০১৭৫৮৪৩৪১৬০</v>
      </c>
      <c r="F261" s="22" t="str">
        <f>"8119457819177"</f>
        <v>8119457819177</v>
      </c>
      <c r="G261" s="75" t="str">
        <f>"১৬৯৬"</f>
        <v>১৬৯৬</v>
      </c>
      <c r="H261" s="75" t="s">
        <v>314</v>
      </c>
      <c r="I261" s="75" t="s">
        <v>314</v>
      </c>
      <c r="J261" s="4"/>
    </row>
    <row r="262" spans="1:10" x14ac:dyDescent="0.25">
      <c r="A262" s="39">
        <v>261</v>
      </c>
      <c r="B262" s="3" t="s">
        <v>1739</v>
      </c>
      <c r="C262" s="75" t="s">
        <v>1740</v>
      </c>
      <c r="D262" s="75" t="s">
        <v>297</v>
      </c>
      <c r="E262" s="75" t="str">
        <f>"০"</f>
        <v>০</v>
      </c>
      <c r="F262" s="22" t="str">
        <f>"8119457819199"</f>
        <v>8119457819199</v>
      </c>
      <c r="G262" s="75" t="str">
        <f>"১৬৯৫"</f>
        <v>১৬৯৫</v>
      </c>
      <c r="H262" s="75" t="s">
        <v>321</v>
      </c>
      <c r="I262" s="75" t="s">
        <v>321</v>
      </c>
      <c r="J262" s="4"/>
    </row>
    <row r="263" spans="1:10" x14ac:dyDescent="0.25">
      <c r="A263" s="39">
        <v>262</v>
      </c>
      <c r="B263" s="3" t="s">
        <v>1723</v>
      </c>
      <c r="C263" s="75" t="s">
        <v>1741</v>
      </c>
      <c r="D263" s="75" t="s">
        <v>297</v>
      </c>
      <c r="E263" s="75" t="str">
        <f>"০"</f>
        <v>০</v>
      </c>
      <c r="F263" s="22" t="str">
        <f>"8119457818136"</f>
        <v>8119457818136</v>
      </c>
      <c r="G263" s="75" t="str">
        <f>"১৬৯৪"</f>
        <v>১৬৯৪</v>
      </c>
      <c r="H263" s="75" t="s">
        <v>322</v>
      </c>
      <c r="I263" s="75" t="s">
        <v>322</v>
      </c>
      <c r="J263" s="4"/>
    </row>
    <row r="264" spans="1:10" x14ac:dyDescent="0.25">
      <c r="A264" s="39">
        <v>263</v>
      </c>
      <c r="B264" s="3" t="s">
        <v>1742</v>
      </c>
      <c r="C264" s="75" t="s">
        <v>1729</v>
      </c>
      <c r="D264" s="75" t="s">
        <v>297</v>
      </c>
      <c r="E264" s="75" t="str">
        <f>"০"</f>
        <v>০</v>
      </c>
      <c r="F264" s="22" t="str">
        <f>"8119457819398"</f>
        <v>8119457819398</v>
      </c>
      <c r="G264" s="75" t="str">
        <f>"১৬৯৩"</f>
        <v>১৬৯৩</v>
      </c>
      <c r="H264" s="75" t="s">
        <v>314</v>
      </c>
      <c r="I264" s="75" t="s">
        <v>314</v>
      </c>
      <c r="J264" s="4"/>
    </row>
    <row r="265" spans="1:10" x14ac:dyDescent="0.25">
      <c r="A265" s="39">
        <v>264</v>
      </c>
      <c r="B265" s="3" t="s">
        <v>1579</v>
      </c>
      <c r="C265" s="75" t="s">
        <v>1563</v>
      </c>
      <c r="D265" s="75" t="s">
        <v>297</v>
      </c>
      <c r="E265" s="75" t="str">
        <f>"০১৮২৮১০৮১৮৯"</f>
        <v>০১৮২৮১০৮১৮৯</v>
      </c>
      <c r="F265" s="22" t="str">
        <f>"8119457818179"</f>
        <v>8119457818179</v>
      </c>
      <c r="G265" s="75" t="str">
        <f>"১৬৯২"</f>
        <v>১৬৯২</v>
      </c>
      <c r="H265" s="75" t="s">
        <v>323</v>
      </c>
      <c r="I265" s="75" t="s">
        <v>323</v>
      </c>
      <c r="J265" s="4"/>
    </row>
    <row r="266" spans="1:10" x14ac:dyDescent="0.25">
      <c r="A266" s="39">
        <v>265</v>
      </c>
      <c r="B266" s="3" t="s">
        <v>1743</v>
      </c>
      <c r="C266" s="75" t="s">
        <v>1744</v>
      </c>
      <c r="D266" s="75" t="s">
        <v>297</v>
      </c>
      <c r="E266" s="75" t="str">
        <f>"০"</f>
        <v>০</v>
      </c>
      <c r="F266" s="22" t="str">
        <f>"8119457818194"</f>
        <v>8119457818194</v>
      </c>
      <c r="G266" s="75" t="str">
        <f>"১৬৯১"</f>
        <v>১৬৯১</v>
      </c>
      <c r="H266" s="75" t="s">
        <v>324</v>
      </c>
      <c r="I266" s="75" t="s">
        <v>324</v>
      </c>
      <c r="J266" s="4"/>
    </row>
    <row r="267" spans="1:10" x14ac:dyDescent="0.25">
      <c r="A267" s="39">
        <v>266</v>
      </c>
      <c r="B267" s="3" t="s">
        <v>1745</v>
      </c>
      <c r="C267" s="75" t="s">
        <v>1546</v>
      </c>
      <c r="D267" s="75" t="s">
        <v>297</v>
      </c>
      <c r="E267" s="75" t="str">
        <f>"০"</f>
        <v>০</v>
      </c>
      <c r="F267" s="22" t="str">
        <f>"811945781"</f>
        <v>811945781</v>
      </c>
      <c r="G267" s="75" t="str">
        <f>"১৬৯০"</f>
        <v>১৬৯০</v>
      </c>
      <c r="H267" s="75" t="s">
        <v>325</v>
      </c>
      <c r="I267" s="75" t="s">
        <v>325</v>
      </c>
      <c r="J267" s="4"/>
    </row>
    <row r="268" spans="1:10" x14ac:dyDescent="0.25">
      <c r="A268" s="39">
        <v>267</v>
      </c>
      <c r="B268" s="3" t="s">
        <v>1746</v>
      </c>
      <c r="C268" s="75" t="s">
        <v>1747</v>
      </c>
      <c r="D268" s="75" t="s">
        <v>297</v>
      </c>
      <c r="E268" s="75" t="str">
        <f>"০"</f>
        <v>০</v>
      </c>
      <c r="F268" s="22" t="str">
        <f>"8119457818135"</f>
        <v>8119457818135</v>
      </c>
      <c r="G268" s="75" t="str">
        <f>"১৬৮৯"</f>
        <v>১৬৮৯</v>
      </c>
      <c r="H268" s="75" t="s">
        <v>319</v>
      </c>
      <c r="I268" s="75" t="s">
        <v>319</v>
      </c>
      <c r="J268" s="4"/>
    </row>
    <row r="269" spans="1:10" x14ac:dyDescent="0.25">
      <c r="A269" s="39">
        <v>268</v>
      </c>
      <c r="B269" s="3" t="s">
        <v>1748</v>
      </c>
      <c r="C269" s="75" t="s">
        <v>1749</v>
      </c>
      <c r="D269" s="75" t="s">
        <v>297</v>
      </c>
      <c r="E269" s="75" t="str">
        <f>"০১৭৩৭৯৭৮৪০২"</f>
        <v>০১৭৩৭৯৭৮৪০২</v>
      </c>
      <c r="F269" s="22" t="str">
        <f>"8119457819295"</f>
        <v>8119457819295</v>
      </c>
      <c r="G269" s="75" t="str">
        <f>"১৬৮৮"</f>
        <v>১৬৮৮</v>
      </c>
      <c r="H269" s="75" t="s">
        <v>326</v>
      </c>
      <c r="I269" s="75" t="s">
        <v>326</v>
      </c>
      <c r="J269" s="4"/>
    </row>
    <row r="270" spans="1:10" x14ac:dyDescent="0.25">
      <c r="A270" s="39">
        <v>269</v>
      </c>
      <c r="B270" s="3" t="s">
        <v>1562</v>
      </c>
      <c r="C270" s="75" t="s">
        <v>1750</v>
      </c>
      <c r="D270" s="75" t="s">
        <v>297</v>
      </c>
      <c r="E270" s="75" t="str">
        <f>"০১৭১৩৭০৪৩৭১"</f>
        <v>০১৭১৩৭০৪৩৭১</v>
      </c>
      <c r="F270" s="22" t="str">
        <f>"8119457819443"</f>
        <v>8119457819443</v>
      </c>
      <c r="G270" s="75" t="str">
        <f>"১৬৮৭"</f>
        <v>১৬৮৭</v>
      </c>
      <c r="H270" s="75" t="s">
        <v>327</v>
      </c>
      <c r="I270" s="75" t="s">
        <v>327</v>
      </c>
      <c r="J270" s="4"/>
    </row>
    <row r="271" spans="1:10" x14ac:dyDescent="0.25">
      <c r="A271" s="39">
        <v>270</v>
      </c>
      <c r="B271" s="3" t="s">
        <v>1563</v>
      </c>
      <c r="C271" s="75" t="s">
        <v>1751</v>
      </c>
      <c r="D271" s="75" t="s">
        <v>297</v>
      </c>
      <c r="E271" s="75" t="str">
        <f t="shared" ref="E271:E278" si="3">"০"</f>
        <v>০</v>
      </c>
      <c r="F271" s="22" t="str">
        <f>"8119457817862"</f>
        <v>8119457817862</v>
      </c>
      <c r="G271" s="75" t="str">
        <f>"১৬৮৬"</f>
        <v>১৬৮৬</v>
      </c>
      <c r="H271" s="75" t="s">
        <v>328</v>
      </c>
      <c r="I271" s="75" t="s">
        <v>328</v>
      </c>
      <c r="J271" s="4"/>
    </row>
    <row r="272" spans="1:10" x14ac:dyDescent="0.25">
      <c r="A272" s="39">
        <v>271</v>
      </c>
      <c r="B272" s="3" t="s">
        <v>1752</v>
      </c>
      <c r="C272" s="75" t="s">
        <v>1667</v>
      </c>
      <c r="D272" s="75" t="s">
        <v>297</v>
      </c>
      <c r="E272" s="75" t="str">
        <f t="shared" si="3"/>
        <v>০</v>
      </c>
      <c r="F272" s="22" t="str">
        <f>"8119457817864"</f>
        <v>8119457817864</v>
      </c>
      <c r="G272" s="75" t="str">
        <f>"১৬৮৫"</f>
        <v>১৬৮৫</v>
      </c>
      <c r="H272" s="75" t="s">
        <v>329</v>
      </c>
      <c r="I272" s="75" t="s">
        <v>329</v>
      </c>
      <c r="J272" s="4"/>
    </row>
    <row r="273" spans="1:10" x14ac:dyDescent="0.25">
      <c r="A273" s="39">
        <v>272</v>
      </c>
      <c r="B273" s="3" t="s">
        <v>0</v>
      </c>
      <c r="C273" s="75" t="s">
        <v>1753</v>
      </c>
      <c r="D273" s="75" t="s">
        <v>297</v>
      </c>
      <c r="E273" s="75" t="str">
        <f t="shared" si="3"/>
        <v>০</v>
      </c>
      <c r="F273" s="22" t="str">
        <f>"8119457818242"</f>
        <v>8119457818242</v>
      </c>
      <c r="G273" s="75" t="str">
        <f>"১৬৮৪"</f>
        <v>১৬৮৪</v>
      </c>
      <c r="H273" s="75" t="s">
        <v>330</v>
      </c>
      <c r="I273" s="75" t="s">
        <v>330</v>
      </c>
      <c r="J273" s="4"/>
    </row>
    <row r="274" spans="1:10" x14ac:dyDescent="0.25">
      <c r="A274" s="39">
        <v>273</v>
      </c>
      <c r="B274" s="3" t="s">
        <v>1754</v>
      </c>
      <c r="C274" s="75" t="s">
        <v>1753</v>
      </c>
      <c r="D274" s="75" t="s">
        <v>297</v>
      </c>
      <c r="E274" s="75" t="str">
        <f t="shared" si="3"/>
        <v>০</v>
      </c>
      <c r="F274" s="22" t="str">
        <f>"8119457818374"</f>
        <v>8119457818374</v>
      </c>
      <c r="G274" s="75" t="str">
        <f>"১৬৮৩"</f>
        <v>১৬৮৩</v>
      </c>
      <c r="H274" s="75" t="s">
        <v>319</v>
      </c>
      <c r="I274" s="75" t="s">
        <v>319</v>
      </c>
      <c r="J274" s="4"/>
    </row>
    <row r="275" spans="1:10" x14ac:dyDescent="0.25">
      <c r="A275" s="39">
        <v>274</v>
      </c>
      <c r="B275" s="3" t="s">
        <v>1706</v>
      </c>
      <c r="C275" s="75" t="s">
        <v>1753</v>
      </c>
      <c r="D275" s="75" t="s">
        <v>297</v>
      </c>
      <c r="E275" s="75" t="str">
        <f t="shared" si="3"/>
        <v>০</v>
      </c>
      <c r="F275" s="22" t="str">
        <f>"8119457818349"</f>
        <v>8119457818349</v>
      </c>
      <c r="G275" s="75" t="str">
        <f>"১৬৮২"</f>
        <v>১৬৮২</v>
      </c>
      <c r="H275" s="75" t="s">
        <v>317</v>
      </c>
      <c r="I275" s="75" t="s">
        <v>317</v>
      </c>
      <c r="J275" s="4"/>
    </row>
    <row r="276" spans="1:10" x14ac:dyDescent="0.25">
      <c r="A276" s="39">
        <v>275</v>
      </c>
      <c r="B276" s="3" t="s">
        <v>1755</v>
      </c>
      <c r="C276" s="75" t="s">
        <v>1756</v>
      </c>
      <c r="D276" s="75" t="s">
        <v>297</v>
      </c>
      <c r="E276" s="75" t="str">
        <f t="shared" si="3"/>
        <v>০</v>
      </c>
      <c r="F276" s="22" t="str">
        <f>"8119457817841"</f>
        <v>8119457817841</v>
      </c>
      <c r="G276" s="75" t="str">
        <f>"১৬৮১"</f>
        <v>১৬৮১</v>
      </c>
      <c r="H276" s="75" t="s">
        <v>323</v>
      </c>
      <c r="I276" s="75" t="s">
        <v>323</v>
      </c>
      <c r="J276" s="4"/>
    </row>
    <row r="277" spans="1:10" x14ac:dyDescent="0.25">
      <c r="A277" s="39">
        <v>276</v>
      </c>
      <c r="B277" s="3" t="s">
        <v>1757</v>
      </c>
      <c r="C277" s="75" t="s">
        <v>1758</v>
      </c>
      <c r="D277" s="75" t="s">
        <v>297</v>
      </c>
      <c r="E277" s="75" t="str">
        <f t="shared" si="3"/>
        <v>০</v>
      </c>
      <c r="F277" s="22" t="str">
        <f>"8119457817987"</f>
        <v>8119457817987</v>
      </c>
      <c r="G277" s="75" t="str">
        <f>"১৬৮০"</f>
        <v>১৬৮০</v>
      </c>
      <c r="H277" s="75" t="s">
        <v>326</v>
      </c>
      <c r="I277" s="75" t="s">
        <v>326</v>
      </c>
      <c r="J277" s="4"/>
    </row>
    <row r="278" spans="1:10" x14ac:dyDescent="0.25">
      <c r="A278" s="39">
        <v>277</v>
      </c>
      <c r="B278" s="3" t="s">
        <v>1747</v>
      </c>
      <c r="C278" s="75" t="s">
        <v>1698</v>
      </c>
      <c r="D278" s="75" t="s">
        <v>297</v>
      </c>
      <c r="E278" s="75" t="str">
        <f t="shared" si="3"/>
        <v>০</v>
      </c>
      <c r="F278" s="22" t="str">
        <f>"8119457818134"</f>
        <v>8119457818134</v>
      </c>
      <c r="G278" s="75" t="str">
        <f>"১৬৭৯"</f>
        <v>১৬৭৯</v>
      </c>
      <c r="H278" s="75" t="s">
        <v>331</v>
      </c>
      <c r="I278" s="75" t="s">
        <v>331</v>
      </c>
      <c r="J278" s="4"/>
    </row>
    <row r="279" spans="1:10" x14ac:dyDescent="0.25">
      <c r="A279" s="39">
        <v>278</v>
      </c>
      <c r="B279" s="3" t="s">
        <v>1759</v>
      </c>
      <c r="C279" s="75" t="s">
        <v>1635</v>
      </c>
      <c r="D279" s="75" t="s">
        <v>297</v>
      </c>
      <c r="E279" s="75" t="str">
        <f>"০১৭২১১১৬৯৮২"</f>
        <v>০১৭২১১১৬৯৮২</v>
      </c>
      <c r="F279" s="22" t="str">
        <f>"8119457815173"</f>
        <v>8119457815173</v>
      </c>
      <c r="G279" s="75" t="str">
        <f>"১৬৭৮"</f>
        <v>১৬৭৮</v>
      </c>
      <c r="H279" s="75" t="s">
        <v>329</v>
      </c>
      <c r="I279" s="75" t="s">
        <v>329</v>
      </c>
      <c r="J279" s="4"/>
    </row>
    <row r="280" spans="1:10" x14ac:dyDescent="0.25">
      <c r="A280" s="39">
        <v>279</v>
      </c>
      <c r="B280" s="3" t="s">
        <v>1760</v>
      </c>
      <c r="C280" s="75" t="s">
        <v>1761</v>
      </c>
      <c r="D280" s="75" t="s">
        <v>297</v>
      </c>
      <c r="E280" s="75" t="str">
        <f>"০১৭২৪৩৮৪২১১"</f>
        <v>০১৭২৪৩৮৪২১১</v>
      </c>
      <c r="F280" s="22" t="str">
        <f>"8119457819391"</f>
        <v>8119457819391</v>
      </c>
      <c r="G280" s="75" t="str">
        <f>"১৬৭৭"</f>
        <v>১৬৭৭</v>
      </c>
      <c r="H280" s="75" t="s">
        <v>332</v>
      </c>
      <c r="I280" s="75" t="s">
        <v>332</v>
      </c>
      <c r="J280" s="4"/>
    </row>
    <row r="281" spans="1:10" x14ac:dyDescent="0.25">
      <c r="A281" s="39">
        <v>280</v>
      </c>
      <c r="B281" s="3" t="s">
        <v>1762</v>
      </c>
      <c r="C281" s="75" t="s">
        <v>1635</v>
      </c>
      <c r="D281" s="75" t="s">
        <v>297</v>
      </c>
      <c r="E281" s="75" t="str">
        <f>"০"</f>
        <v>০</v>
      </c>
      <c r="F281" s="22" t="str">
        <f>"8119457818977"</f>
        <v>8119457818977</v>
      </c>
      <c r="G281" s="75" t="str">
        <f>"১৬৭৬"</f>
        <v>১৬৭৬</v>
      </c>
      <c r="H281" s="75" t="s">
        <v>316</v>
      </c>
      <c r="I281" s="75" t="s">
        <v>316</v>
      </c>
      <c r="J281" s="4"/>
    </row>
    <row r="282" spans="1:10" x14ac:dyDescent="0.25">
      <c r="A282" s="39">
        <v>281</v>
      </c>
      <c r="B282" s="3" t="s">
        <v>1546</v>
      </c>
      <c r="C282" s="75" t="s">
        <v>1763</v>
      </c>
      <c r="D282" s="75" t="s">
        <v>297</v>
      </c>
      <c r="E282" s="75" t="str">
        <f>"০১৭২২৪৫৬৩৭২"</f>
        <v>০১৭২২৪৫৬৩৭২</v>
      </c>
      <c r="F282" s="22" t="str">
        <f>"8119457819257"</f>
        <v>8119457819257</v>
      </c>
      <c r="G282" s="75" t="str">
        <f>"১৬৭৫"</f>
        <v>১৬৭৫</v>
      </c>
      <c r="H282" s="75" t="s">
        <v>330</v>
      </c>
      <c r="I282" s="75" t="s">
        <v>330</v>
      </c>
      <c r="J282" s="4"/>
    </row>
    <row r="283" spans="1:10" x14ac:dyDescent="0.25">
      <c r="A283" s="39">
        <v>282</v>
      </c>
      <c r="B283" s="3" t="s">
        <v>1764</v>
      </c>
      <c r="C283" s="75" t="s">
        <v>1635</v>
      </c>
      <c r="D283" s="75" t="s">
        <v>297</v>
      </c>
      <c r="E283" s="75" t="str">
        <f>"০"</f>
        <v>০</v>
      </c>
      <c r="F283" s="22" t="str">
        <f>"8119457818976"</f>
        <v>8119457818976</v>
      </c>
      <c r="G283" s="75" t="str">
        <f>"১৬৭৪"</f>
        <v>১৬৭৪</v>
      </c>
      <c r="H283" s="75" t="s">
        <v>333</v>
      </c>
      <c r="I283" s="75" t="s">
        <v>333</v>
      </c>
      <c r="J283" s="4"/>
    </row>
    <row r="284" spans="1:10" x14ac:dyDescent="0.25">
      <c r="A284" s="39">
        <v>283</v>
      </c>
      <c r="B284" s="3" t="s">
        <v>1765</v>
      </c>
      <c r="C284" s="75" t="s">
        <v>177</v>
      </c>
      <c r="D284" s="75" t="s">
        <v>297</v>
      </c>
      <c r="E284" s="75" t="str">
        <f>"০"</f>
        <v>০</v>
      </c>
      <c r="F284" s="22" t="str">
        <f>"8119457819162"</f>
        <v>8119457819162</v>
      </c>
      <c r="G284" s="75" t="str">
        <f>"১৬৭৩"</f>
        <v>১৬৭৩</v>
      </c>
      <c r="H284" s="75" t="s">
        <v>319</v>
      </c>
      <c r="I284" s="75" t="s">
        <v>319</v>
      </c>
      <c r="J284" s="4"/>
    </row>
    <row r="285" spans="1:10" x14ac:dyDescent="0.25">
      <c r="A285" s="39">
        <v>284</v>
      </c>
      <c r="B285" s="3" t="s">
        <v>1766</v>
      </c>
      <c r="C285" s="75" t="s">
        <v>1542</v>
      </c>
      <c r="D285" s="75" t="s">
        <v>297</v>
      </c>
      <c r="E285" s="75" t="str">
        <f>"০"</f>
        <v>০</v>
      </c>
      <c r="F285" s="22" t="str">
        <f>"8119457818282"</f>
        <v>8119457818282</v>
      </c>
      <c r="G285" s="75" t="str">
        <f>"১৬৭২"</f>
        <v>১৬৭২</v>
      </c>
      <c r="H285" s="75" t="s">
        <v>322</v>
      </c>
      <c r="I285" s="75" t="s">
        <v>322</v>
      </c>
      <c r="J285" s="4"/>
    </row>
    <row r="286" spans="1:10" x14ac:dyDescent="0.25">
      <c r="A286" s="39">
        <v>285</v>
      </c>
      <c r="B286" s="3" t="s">
        <v>1767</v>
      </c>
      <c r="C286" s="75" t="s">
        <v>1768</v>
      </c>
      <c r="D286" s="75" t="s">
        <v>297</v>
      </c>
      <c r="E286" s="75" t="str">
        <f>"০"</f>
        <v>০</v>
      </c>
      <c r="F286" s="22" t="str">
        <f>"811945781"</f>
        <v>811945781</v>
      </c>
      <c r="G286" s="75" t="str">
        <f>"১৬৭১"</f>
        <v>১৬৭১</v>
      </c>
      <c r="H286" s="75" t="s">
        <v>319</v>
      </c>
      <c r="I286" s="75" t="s">
        <v>319</v>
      </c>
      <c r="J286" s="4"/>
    </row>
    <row r="287" spans="1:10" x14ac:dyDescent="0.25">
      <c r="A287" s="39">
        <v>286</v>
      </c>
      <c r="B287" s="3" t="s">
        <v>1769</v>
      </c>
      <c r="C287" s="75" t="s">
        <v>1770</v>
      </c>
      <c r="D287" s="75" t="s">
        <v>297</v>
      </c>
      <c r="E287" s="75" t="str">
        <f>"০১৭৩৯৪১৫২২১"</f>
        <v>০১৭৩৯৪১৫২২১</v>
      </c>
      <c r="F287" s="22" t="str">
        <f>"8119457818119"</f>
        <v>8119457818119</v>
      </c>
      <c r="G287" s="75" t="str">
        <f>"১৬৭০"</f>
        <v>১৬৭০</v>
      </c>
      <c r="H287" s="75" t="s">
        <v>315</v>
      </c>
      <c r="I287" s="75" t="s">
        <v>315</v>
      </c>
      <c r="J287" s="4"/>
    </row>
    <row r="288" spans="1:10" x14ac:dyDescent="0.25">
      <c r="A288" s="39">
        <v>287</v>
      </c>
      <c r="B288" s="3" t="s">
        <v>1771</v>
      </c>
      <c r="C288" s="75" t="s">
        <v>1772</v>
      </c>
      <c r="D288" s="75" t="s">
        <v>297</v>
      </c>
      <c r="E288" s="75" t="str">
        <f>"০১৭২৬৪১২০৭৫"</f>
        <v>০১৭২৬৪১২০৭৫</v>
      </c>
      <c r="F288" s="22" t="str">
        <f>"8119457818248"</f>
        <v>8119457818248</v>
      </c>
      <c r="G288" s="75" t="str">
        <f>"১৬৬৯"</f>
        <v>১৬৬৯</v>
      </c>
      <c r="H288" s="75" t="s">
        <v>316</v>
      </c>
      <c r="I288" s="75" t="s">
        <v>316</v>
      </c>
      <c r="J288" s="4"/>
    </row>
    <row r="289" spans="1:10" x14ac:dyDescent="0.25">
      <c r="A289" s="39">
        <v>288</v>
      </c>
      <c r="B289" s="3" t="s">
        <v>1773</v>
      </c>
      <c r="C289" s="75" t="s">
        <v>1774</v>
      </c>
      <c r="D289" s="75" t="s">
        <v>297</v>
      </c>
      <c r="E289" s="75" t="str">
        <f>"০১৭২৬৯২৭৪৪৪"</f>
        <v>০১৭২৬৯২৭৪৪৪</v>
      </c>
      <c r="F289" s="22" t="str">
        <f>"8119457818249"</f>
        <v>8119457818249</v>
      </c>
      <c r="G289" s="75" t="str">
        <f>"১৬৬৮"</f>
        <v>১৬৬৮</v>
      </c>
      <c r="H289" s="75" t="s">
        <v>317</v>
      </c>
      <c r="I289" s="75" t="s">
        <v>317</v>
      </c>
      <c r="J289" s="4"/>
    </row>
    <row r="290" spans="1:10" x14ac:dyDescent="0.25">
      <c r="A290" s="39">
        <v>289</v>
      </c>
      <c r="B290" s="3" t="s">
        <v>1775</v>
      </c>
      <c r="C290" s="75" t="s">
        <v>1772</v>
      </c>
      <c r="D290" s="75" t="s">
        <v>297</v>
      </c>
      <c r="E290" s="75" t="str">
        <f>"০"</f>
        <v>০</v>
      </c>
      <c r="F290" s="22" t="str">
        <f>"8119457818242"</f>
        <v>8119457818242</v>
      </c>
      <c r="G290" s="75" t="str">
        <f>"১৬৬৭"</f>
        <v>১৬৬৭</v>
      </c>
      <c r="H290" s="75" t="s">
        <v>318</v>
      </c>
      <c r="I290" s="75" t="s">
        <v>318</v>
      </c>
      <c r="J290" s="4"/>
    </row>
    <row r="291" spans="1:10" x14ac:dyDescent="0.25">
      <c r="A291" s="39">
        <v>290</v>
      </c>
      <c r="B291" s="3" t="s">
        <v>1776</v>
      </c>
      <c r="C291" s="75" t="s">
        <v>1772</v>
      </c>
      <c r="D291" s="75" t="s">
        <v>297</v>
      </c>
      <c r="E291" s="75" t="str">
        <f>"০১৭৪৫৭৩৮৪৮১"</f>
        <v>০১৭৪৫৭৩৮৪৮১</v>
      </c>
      <c r="F291" s="22" t="str">
        <f>"8119457818244"</f>
        <v>8119457818244</v>
      </c>
      <c r="G291" s="75" t="str">
        <f>"১৬৬৬"</f>
        <v>১৬৬৬</v>
      </c>
      <c r="H291" s="75" t="s">
        <v>319</v>
      </c>
      <c r="I291" s="75" t="s">
        <v>319</v>
      </c>
      <c r="J291" s="4"/>
    </row>
    <row r="292" spans="1:10" x14ac:dyDescent="0.25">
      <c r="A292" s="39">
        <v>291</v>
      </c>
      <c r="B292" s="3" t="s">
        <v>1777</v>
      </c>
      <c r="C292" s="75" t="s">
        <v>1770</v>
      </c>
      <c r="D292" s="75" t="s">
        <v>297</v>
      </c>
      <c r="E292" s="75" t="str">
        <f>"০১৭৬৮৫৭৭২০২"</f>
        <v>০১৭৬৮৫৭৭২০২</v>
      </c>
      <c r="F292" s="22" t="str">
        <f>"8119457818129"</f>
        <v>8119457818129</v>
      </c>
      <c r="G292" s="75" t="str">
        <f>"১৬৬৫"</f>
        <v>১৬৬৫</v>
      </c>
      <c r="H292" s="75" t="s">
        <v>320</v>
      </c>
      <c r="I292" s="75" t="s">
        <v>320</v>
      </c>
      <c r="J292" s="4"/>
    </row>
    <row r="293" spans="1:10" x14ac:dyDescent="0.25">
      <c r="A293" s="39">
        <v>292</v>
      </c>
      <c r="B293" s="3" t="s">
        <v>1778</v>
      </c>
      <c r="C293" s="75" t="s">
        <v>1547</v>
      </c>
      <c r="D293" s="75" t="s">
        <v>297</v>
      </c>
      <c r="E293" s="75" t="str">
        <f>"০"</f>
        <v>০</v>
      </c>
      <c r="F293" s="22" t="str">
        <f>"8119457819127"</f>
        <v>8119457819127</v>
      </c>
      <c r="G293" s="75" t="str">
        <f>"১৬৬৪"</f>
        <v>১৬৬৪</v>
      </c>
      <c r="H293" s="75" t="s">
        <v>315</v>
      </c>
      <c r="I293" s="75" t="s">
        <v>315</v>
      </c>
      <c r="J293" s="4"/>
    </row>
    <row r="294" spans="1:10" x14ac:dyDescent="0.25">
      <c r="A294" s="39">
        <v>293</v>
      </c>
      <c r="B294" s="3" t="s">
        <v>1779</v>
      </c>
      <c r="C294" s="75" t="s">
        <v>1780</v>
      </c>
      <c r="D294" s="75" t="s">
        <v>297</v>
      </c>
      <c r="E294" s="75" t="str">
        <f>"০"</f>
        <v>০</v>
      </c>
      <c r="F294" s="22" t="str">
        <f>"8119457818115"</f>
        <v>8119457818115</v>
      </c>
      <c r="G294" s="75" t="str">
        <f>"১৬৬৩"</f>
        <v>১৬৬৩</v>
      </c>
      <c r="H294" s="75" t="s">
        <v>313</v>
      </c>
      <c r="I294" s="75" t="s">
        <v>313</v>
      </c>
      <c r="J294" s="4"/>
    </row>
    <row r="295" spans="1:10" x14ac:dyDescent="0.25">
      <c r="A295" s="39">
        <v>294</v>
      </c>
      <c r="B295" s="3" t="s">
        <v>1655</v>
      </c>
      <c r="C295" s="75" t="s">
        <v>1781</v>
      </c>
      <c r="D295" s="75" t="s">
        <v>297</v>
      </c>
      <c r="E295" s="75" t="str">
        <f>"০১৭৫৮৯৪৭০৪৮"</f>
        <v>০১৭৫৮৯৪৭০৪৮</v>
      </c>
      <c r="F295" s="22" t="str">
        <f>"8119457818156"</f>
        <v>8119457818156</v>
      </c>
      <c r="G295" s="75" t="str">
        <f>"১৬৬২"</f>
        <v>১৬৬২</v>
      </c>
      <c r="H295" s="75" t="s">
        <v>314</v>
      </c>
      <c r="I295" s="75" t="s">
        <v>314</v>
      </c>
      <c r="J295" s="4"/>
    </row>
    <row r="296" spans="1:10" x14ac:dyDescent="0.25">
      <c r="A296" s="39">
        <v>295</v>
      </c>
      <c r="B296" s="3" t="s">
        <v>1782</v>
      </c>
      <c r="C296" s="75" t="s">
        <v>1783</v>
      </c>
      <c r="D296" s="75" t="s">
        <v>297</v>
      </c>
      <c r="E296" s="75" t="str">
        <f>"০১৭৩০৯১৯০১৮"</f>
        <v>০১৭৩০৯১৯০১৮</v>
      </c>
      <c r="F296" s="22" t="str">
        <f>"8119457818204"</f>
        <v>8119457818204</v>
      </c>
      <c r="G296" s="75" t="str">
        <f>"১৬৬১"</f>
        <v>১৬৬১</v>
      </c>
      <c r="H296" s="75" t="s">
        <v>321</v>
      </c>
      <c r="I296" s="75" t="s">
        <v>321</v>
      </c>
      <c r="J296" s="4"/>
    </row>
    <row r="297" spans="1:10" x14ac:dyDescent="0.25">
      <c r="A297" s="39">
        <v>296</v>
      </c>
      <c r="B297" s="3" t="s">
        <v>1784</v>
      </c>
      <c r="C297" s="75" t="s">
        <v>1785</v>
      </c>
      <c r="D297" s="75" t="s">
        <v>297</v>
      </c>
      <c r="E297" s="75" t="str">
        <f>"০"</f>
        <v>০</v>
      </c>
      <c r="F297" s="22" t="str">
        <f>"8119457818076"</f>
        <v>8119457818076</v>
      </c>
      <c r="G297" s="75" t="str">
        <f>"১৬৬০"</f>
        <v>১৬৬০</v>
      </c>
      <c r="H297" s="75" t="s">
        <v>322</v>
      </c>
      <c r="I297" s="75" t="s">
        <v>322</v>
      </c>
      <c r="J297" s="4"/>
    </row>
    <row r="298" spans="1:10" x14ac:dyDescent="0.25">
      <c r="A298" s="39">
        <v>297</v>
      </c>
      <c r="B298" s="3" t="s">
        <v>1</v>
      </c>
      <c r="C298" s="75" t="s">
        <v>1677</v>
      </c>
      <c r="D298" s="75" t="s">
        <v>297</v>
      </c>
      <c r="E298" s="75" t="str">
        <f>"০"</f>
        <v>০</v>
      </c>
      <c r="F298" s="22" t="str">
        <f>"8119457817977"</f>
        <v>8119457817977</v>
      </c>
      <c r="G298" s="75" t="str">
        <f>"১৬৫৯"</f>
        <v>১৬৫৯</v>
      </c>
      <c r="H298" s="75" t="s">
        <v>314</v>
      </c>
      <c r="I298" s="75" t="s">
        <v>314</v>
      </c>
      <c r="J298" s="4"/>
    </row>
    <row r="299" spans="1:10" x14ac:dyDescent="0.25">
      <c r="A299" s="39">
        <v>298</v>
      </c>
      <c r="B299" s="3" t="s">
        <v>1786</v>
      </c>
      <c r="C299" s="75" t="s">
        <v>1787</v>
      </c>
      <c r="D299" s="75" t="s">
        <v>297</v>
      </c>
      <c r="E299" s="75" t="str">
        <f>"০"</f>
        <v>০</v>
      </c>
      <c r="F299" s="22" t="str">
        <f>"8119457818225"</f>
        <v>8119457818225</v>
      </c>
      <c r="G299" s="75" t="str">
        <f>"১৬৫৭"</f>
        <v>১৬৫৭</v>
      </c>
      <c r="H299" s="75" t="s">
        <v>324</v>
      </c>
      <c r="I299" s="75" t="s">
        <v>324</v>
      </c>
      <c r="J299" s="4"/>
    </row>
    <row r="300" spans="1:10" x14ac:dyDescent="0.25">
      <c r="A300" s="39">
        <v>299</v>
      </c>
      <c r="B300" s="3" t="s">
        <v>1788</v>
      </c>
      <c r="C300" s="75" t="s">
        <v>1656</v>
      </c>
      <c r="D300" s="75" t="s">
        <v>297</v>
      </c>
      <c r="E300" s="75" t="str">
        <f>"০"</f>
        <v>০</v>
      </c>
      <c r="F300" s="22" t="str">
        <f>"8119457818280"</f>
        <v>8119457818280</v>
      </c>
      <c r="G300" s="75" t="str">
        <f>"১৬৫৬"</f>
        <v>১৬৫৬</v>
      </c>
      <c r="H300" s="75" t="s">
        <v>325</v>
      </c>
      <c r="I300" s="75" t="s">
        <v>325</v>
      </c>
      <c r="J300" s="4"/>
    </row>
    <row r="301" spans="1:10" x14ac:dyDescent="0.25">
      <c r="A301" s="39">
        <v>300</v>
      </c>
      <c r="B301" s="3" t="s">
        <v>1789</v>
      </c>
      <c r="C301" s="75" t="s">
        <v>1790</v>
      </c>
      <c r="D301" s="75" t="s">
        <v>297</v>
      </c>
      <c r="E301" s="75" t="str">
        <f>"০১৭৪৪৮১২৭৪৮"</f>
        <v>০১৭৪৪৮১২৭৪৮</v>
      </c>
      <c r="F301" s="22" t="str">
        <f>"8119457818294"</f>
        <v>8119457818294</v>
      </c>
      <c r="G301" s="75" t="str">
        <f>"১৬৫৫"</f>
        <v>১৬৫৫</v>
      </c>
      <c r="H301" s="75" t="s">
        <v>319</v>
      </c>
      <c r="I301" s="75" t="s">
        <v>319</v>
      </c>
      <c r="J301" s="4"/>
    </row>
    <row r="302" spans="1:10" x14ac:dyDescent="0.25">
      <c r="A302" s="39">
        <v>301</v>
      </c>
      <c r="B302" s="3" t="s">
        <v>1791</v>
      </c>
      <c r="C302" s="75" t="s">
        <v>1702</v>
      </c>
      <c r="D302" s="75" t="s">
        <v>297</v>
      </c>
      <c r="E302" s="75" t="str">
        <f>"০"</f>
        <v>০</v>
      </c>
      <c r="F302" s="22" t="str">
        <f>"8119457818263"</f>
        <v>8119457818263</v>
      </c>
      <c r="G302" s="75" t="str">
        <f>"১৬৫৪"</f>
        <v>১৬৫৪</v>
      </c>
      <c r="H302" s="75" t="s">
        <v>326</v>
      </c>
      <c r="I302" s="75" t="s">
        <v>326</v>
      </c>
      <c r="J302" s="4"/>
    </row>
    <row r="303" spans="1:10" x14ac:dyDescent="0.25">
      <c r="A303" s="39">
        <v>302</v>
      </c>
      <c r="B303" s="3" t="s">
        <v>1792</v>
      </c>
      <c r="C303" s="75" t="s">
        <v>1793</v>
      </c>
      <c r="D303" s="75" t="s">
        <v>297</v>
      </c>
      <c r="E303" s="75" t="str">
        <f>"০১৭৫৪২৫১১৭৭"</f>
        <v>০১৭৫৪২৫১১৭৭</v>
      </c>
      <c r="F303" s="22" t="str">
        <f>"8119457818308"</f>
        <v>8119457818308</v>
      </c>
      <c r="G303" s="75" t="str">
        <f>"১৬৫৩"</f>
        <v>১৬৫৩</v>
      </c>
      <c r="H303" s="75" t="s">
        <v>327</v>
      </c>
      <c r="I303" s="75" t="s">
        <v>327</v>
      </c>
      <c r="J303" s="4"/>
    </row>
    <row r="304" spans="1:10" x14ac:dyDescent="0.25">
      <c r="A304" s="39">
        <v>303</v>
      </c>
      <c r="B304" s="3" t="s">
        <v>1794</v>
      </c>
      <c r="C304" s="75" t="s">
        <v>1540</v>
      </c>
      <c r="D304" s="75" t="s">
        <v>297</v>
      </c>
      <c r="E304" s="75" t="str">
        <f>"০"</f>
        <v>০</v>
      </c>
      <c r="F304" s="22" t="str">
        <f>"8119457000163"</f>
        <v>8119457000163</v>
      </c>
      <c r="G304" s="75" t="str">
        <f>"১৬৫১"</f>
        <v>১৬৫১</v>
      </c>
      <c r="H304" s="75" t="s">
        <v>329</v>
      </c>
      <c r="I304" s="75" t="s">
        <v>329</v>
      </c>
      <c r="J304" s="4"/>
    </row>
    <row r="305" spans="1:10" x14ac:dyDescent="0.25">
      <c r="A305" s="39">
        <v>304</v>
      </c>
      <c r="B305" s="3" t="s">
        <v>1760</v>
      </c>
      <c r="C305" s="75" t="s">
        <v>1795</v>
      </c>
      <c r="D305" s="75" t="s">
        <v>297</v>
      </c>
      <c r="E305" s="75" t="str">
        <f>"০"</f>
        <v>০</v>
      </c>
      <c r="F305" s="22" t="str">
        <f>"8119457819107"</f>
        <v>8119457819107</v>
      </c>
      <c r="G305" s="75" t="str">
        <f>"১৬৫০"</f>
        <v>১৬৫০</v>
      </c>
      <c r="H305" s="75" t="s">
        <v>330</v>
      </c>
      <c r="I305" s="75" t="s">
        <v>330</v>
      </c>
      <c r="J305" s="4"/>
    </row>
    <row r="306" spans="1:10" x14ac:dyDescent="0.25">
      <c r="A306" s="39">
        <v>305</v>
      </c>
      <c r="B306" s="3" t="s">
        <v>1796</v>
      </c>
      <c r="C306" s="75" t="s">
        <v>1797</v>
      </c>
      <c r="D306" s="75" t="s">
        <v>297</v>
      </c>
      <c r="E306" s="75" t="str">
        <f>"০"</f>
        <v>০</v>
      </c>
      <c r="F306" s="22" t="str">
        <f>"8119457819194"</f>
        <v>8119457819194</v>
      </c>
      <c r="G306" s="75" t="str">
        <f>"১৬৪৯"</f>
        <v>১৬৪৯</v>
      </c>
      <c r="H306" s="75" t="s">
        <v>319</v>
      </c>
      <c r="I306" s="75" t="s">
        <v>319</v>
      </c>
      <c r="J306" s="4"/>
    </row>
    <row r="307" spans="1:10" x14ac:dyDescent="0.25">
      <c r="A307" s="39">
        <v>306</v>
      </c>
      <c r="B307" s="3" t="s">
        <v>1535</v>
      </c>
      <c r="C307" s="75" t="s">
        <v>1797</v>
      </c>
      <c r="D307" s="75" t="s">
        <v>297</v>
      </c>
      <c r="E307" s="75" t="str">
        <f>"০"</f>
        <v>০</v>
      </c>
      <c r="F307" s="22" t="str">
        <f>"8119457819204"</f>
        <v>8119457819204</v>
      </c>
      <c r="G307" s="75" t="str">
        <f>"১৬৪৮"</f>
        <v>১৬৪৮</v>
      </c>
      <c r="H307" s="75" t="s">
        <v>317</v>
      </c>
      <c r="I307" s="75" t="s">
        <v>317</v>
      </c>
      <c r="J307" s="4"/>
    </row>
    <row r="308" spans="1:10" x14ac:dyDescent="0.25">
      <c r="A308" s="39">
        <v>307</v>
      </c>
      <c r="B308" s="3" t="s">
        <v>1798</v>
      </c>
      <c r="C308" s="75" t="s">
        <v>1770</v>
      </c>
      <c r="D308" s="75" t="s">
        <v>297</v>
      </c>
      <c r="E308" s="75" t="str">
        <f>"০১৭২৪৯৮২৮৮৮"</f>
        <v>০১৭২৪৯৮২৮৮৮</v>
      </c>
      <c r="F308" s="22" t="str">
        <f>"8119457818162"</f>
        <v>8119457818162</v>
      </c>
      <c r="G308" s="75" t="str">
        <f>"১৬৪৭"</f>
        <v>১৬৪৭</v>
      </c>
      <c r="H308" s="75" t="s">
        <v>323</v>
      </c>
      <c r="I308" s="75" t="s">
        <v>323</v>
      </c>
      <c r="J308" s="4"/>
    </row>
    <row r="309" spans="1:10" x14ac:dyDescent="0.25">
      <c r="A309" s="39">
        <v>308</v>
      </c>
      <c r="B309" s="3" t="s">
        <v>1799</v>
      </c>
      <c r="C309" s="75" t="s">
        <v>1800</v>
      </c>
      <c r="D309" s="75" t="s">
        <v>297</v>
      </c>
      <c r="E309" s="75" t="str">
        <f>"০"</f>
        <v>০</v>
      </c>
      <c r="F309" s="22" t="str">
        <f>"8119457819182"</f>
        <v>8119457819182</v>
      </c>
      <c r="G309" s="75" t="str">
        <f>"১৬৪৬"</f>
        <v>১৬৪৬</v>
      </c>
      <c r="H309" s="75" t="s">
        <v>326</v>
      </c>
      <c r="I309" s="75" t="s">
        <v>326</v>
      </c>
      <c r="J309" s="4"/>
    </row>
    <row r="310" spans="1:10" x14ac:dyDescent="0.25">
      <c r="A310" s="39">
        <v>309</v>
      </c>
      <c r="B310" s="3" t="s">
        <v>1547</v>
      </c>
      <c r="C310" s="75" t="s">
        <v>1801</v>
      </c>
      <c r="D310" s="75" t="s">
        <v>297</v>
      </c>
      <c r="E310" s="75" t="str">
        <f>"০"</f>
        <v>০</v>
      </c>
      <c r="F310" s="22" t="str">
        <f>"8119457819207"</f>
        <v>8119457819207</v>
      </c>
      <c r="G310" s="75" t="str">
        <f>"১৬৪৫"</f>
        <v>১৬৪৫</v>
      </c>
      <c r="H310" s="75" t="s">
        <v>331</v>
      </c>
      <c r="I310" s="75" t="s">
        <v>331</v>
      </c>
      <c r="J310" s="4"/>
    </row>
    <row r="311" spans="1:10" x14ac:dyDescent="0.25">
      <c r="A311" s="39">
        <v>310</v>
      </c>
      <c r="B311" s="3" t="s">
        <v>1802</v>
      </c>
      <c r="C311" s="75" t="s">
        <v>1803</v>
      </c>
      <c r="D311" s="75" t="s">
        <v>297</v>
      </c>
      <c r="E311" s="75" t="str">
        <f>"০"</f>
        <v>০</v>
      </c>
      <c r="F311" s="22" t="str">
        <f>"8119457819337"</f>
        <v>8119457819337</v>
      </c>
      <c r="G311" s="75" t="str">
        <f>"১৬৪৪"</f>
        <v>১৬৪৪</v>
      </c>
      <c r="H311" s="75" t="s">
        <v>329</v>
      </c>
      <c r="I311" s="75" t="s">
        <v>329</v>
      </c>
      <c r="J311" s="4"/>
    </row>
    <row r="312" spans="1:10" x14ac:dyDescent="0.25">
      <c r="A312" s="39">
        <v>311</v>
      </c>
      <c r="B312" s="3" t="s">
        <v>1804</v>
      </c>
      <c r="C312" s="75" t="s">
        <v>1805</v>
      </c>
      <c r="D312" s="75" t="s">
        <v>297</v>
      </c>
      <c r="E312" s="75" t="str">
        <f>"০"</f>
        <v>০</v>
      </c>
      <c r="F312" s="22" t="str">
        <f>"8119457819364"</f>
        <v>8119457819364</v>
      </c>
      <c r="G312" s="75" t="str">
        <f>"১৬৪৩"</f>
        <v>১৬৪৩</v>
      </c>
      <c r="H312" s="75" t="s">
        <v>332</v>
      </c>
      <c r="I312" s="75" t="s">
        <v>332</v>
      </c>
      <c r="J312" s="4"/>
    </row>
    <row r="313" spans="1:10" x14ac:dyDescent="0.25">
      <c r="A313" s="39">
        <v>312</v>
      </c>
      <c r="B313" s="3" t="s">
        <v>1706</v>
      </c>
      <c r="C313" s="75" t="s">
        <v>1677</v>
      </c>
      <c r="D313" s="75" t="s">
        <v>297</v>
      </c>
      <c r="E313" s="75" t="str">
        <f>"০১৭২১১০২৭৪১"</f>
        <v>০১৭২১১০২৭৪১</v>
      </c>
      <c r="F313" s="22" t="str">
        <f>"8119457818267"</f>
        <v>8119457818267</v>
      </c>
      <c r="G313" s="75" t="str">
        <f>"১৬৪২"</f>
        <v>১৬৪২</v>
      </c>
      <c r="H313" s="75" t="s">
        <v>316</v>
      </c>
      <c r="I313" s="75" t="s">
        <v>316</v>
      </c>
      <c r="J313" s="4"/>
    </row>
    <row r="314" spans="1:10" x14ac:dyDescent="0.25">
      <c r="A314" s="39">
        <v>313</v>
      </c>
      <c r="B314" s="3" t="s">
        <v>1806</v>
      </c>
      <c r="C314" s="75" t="s">
        <v>1807</v>
      </c>
      <c r="D314" s="75" t="s">
        <v>297</v>
      </c>
      <c r="E314" s="75" t="str">
        <f>"০১৭৫৫২৭০৭০৩"</f>
        <v>০১৭৫৫২৭০৭০৩</v>
      </c>
      <c r="F314" s="22" t="str">
        <f>"8119457818137"</f>
        <v>8119457818137</v>
      </c>
      <c r="G314" s="75" t="str">
        <f>"১৬৪১"</f>
        <v>১৬৪১</v>
      </c>
      <c r="H314" s="75" t="s">
        <v>330</v>
      </c>
      <c r="I314" s="75" t="s">
        <v>330</v>
      </c>
      <c r="J314" s="4"/>
    </row>
    <row r="315" spans="1:10" x14ac:dyDescent="0.25">
      <c r="A315" s="39">
        <v>314</v>
      </c>
      <c r="B315" s="3" t="s">
        <v>1808</v>
      </c>
      <c r="C315" s="75" t="s">
        <v>1682</v>
      </c>
      <c r="D315" s="75" t="s">
        <v>297</v>
      </c>
      <c r="E315" s="75" t="str">
        <f>"০১৮২৯২১৫৮৫৭"</f>
        <v>০১৮২৯২১৫৮৫৭</v>
      </c>
      <c r="F315" s="22" t="str">
        <f>"8119457818056"</f>
        <v>8119457818056</v>
      </c>
      <c r="G315" s="75" t="str">
        <f>"১৬৪০"</f>
        <v>১৬৪০</v>
      </c>
      <c r="H315" s="75" t="s">
        <v>333</v>
      </c>
      <c r="I315" s="75" t="s">
        <v>333</v>
      </c>
      <c r="J315" s="4"/>
    </row>
    <row r="316" spans="1:10" x14ac:dyDescent="0.25">
      <c r="A316" s="39">
        <v>315</v>
      </c>
      <c r="B316" s="3" t="s">
        <v>1769</v>
      </c>
      <c r="C316" s="75" t="s">
        <v>1809</v>
      </c>
      <c r="D316" s="75" t="s">
        <v>297</v>
      </c>
      <c r="E316" s="75" t="str">
        <f>"০"</f>
        <v>০</v>
      </c>
      <c r="F316" s="22" t="str">
        <f>"8119457817860"</f>
        <v>8119457817860</v>
      </c>
      <c r="G316" s="75" t="str">
        <f>"১৬৩৯"</f>
        <v>১৬৩৯</v>
      </c>
      <c r="H316" s="75" t="s">
        <v>319</v>
      </c>
      <c r="I316" s="75" t="s">
        <v>319</v>
      </c>
      <c r="J316" s="4"/>
    </row>
    <row r="317" spans="1:10" x14ac:dyDescent="0.25">
      <c r="A317" s="39">
        <v>316</v>
      </c>
      <c r="B317" s="3" t="s">
        <v>1810</v>
      </c>
      <c r="C317" s="75" t="s">
        <v>1811</v>
      </c>
      <c r="D317" s="75" t="s">
        <v>297</v>
      </c>
      <c r="E317" s="75" t="str">
        <f>"০১৭২২৬৬৮৮১৯"</f>
        <v>০১৭২২৬৬৮৮১৯</v>
      </c>
      <c r="F317" s="22" t="str">
        <f>"8119457818001"</f>
        <v>8119457818001</v>
      </c>
      <c r="G317" s="75" t="str">
        <f>"১৬৩৮"</f>
        <v>১৬৩৮</v>
      </c>
      <c r="H317" s="75" t="s">
        <v>322</v>
      </c>
      <c r="I317" s="75" t="s">
        <v>322</v>
      </c>
      <c r="J317" s="4"/>
    </row>
    <row r="318" spans="1:10" x14ac:dyDescent="0.25">
      <c r="A318" s="39">
        <v>317</v>
      </c>
      <c r="B318" s="3" t="s">
        <v>1578</v>
      </c>
      <c r="C318" s="75" t="s">
        <v>1812</v>
      </c>
      <c r="D318" s="75" t="s">
        <v>297</v>
      </c>
      <c r="E318" s="75" t="str">
        <f>"০১৭৫৬৫৩৪১৯০"</f>
        <v>০১৭৫৬৫৩৪১৯০</v>
      </c>
      <c r="F318" s="22" t="str">
        <f>"8119457817937"</f>
        <v>8119457817937</v>
      </c>
      <c r="G318" s="75" t="str">
        <f>"১৬৩৭"</f>
        <v>১৬৩৭</v>
      </c>
      <c r="H318" s="75" t="s">
        <v>319</v>
      </c>
      <c r="I318" s="75" t="s">
        <v>319</v>
      </c>
      <c r="J318" s="4"/>
    </row>
    <row r="319" spans="1:10" x14ac:dyDescent="0.25">
      <c r="A319" s="39">
        <v>318</v>
      </c>
      <c r="B319" s="3" t="s">
        <v>1813</v>
      </c>
      <c r="C319" s="75" t="s">
        <v>1814</v>
      </c>
      <c r="D319" s="75" t="s">
        <v>297</v>
      </c>
      <c r="E319" s="75" t="str">
        <f>"০১৭৩৩৯৪৪৫৮২"</f>
        <v>০১৭৩৩৯৪৪৫৮২</v>
      </c>
      <c r="F319" s="22" t="str">
        <f>"8119457818221"</f>
        <v>8119457818221</v>
      </c>
      <c r="G319" s="75" t="str">
        <f>"১৬৩৬"</f>
        <v>১৬৩৬</v>
      </c>
      <c r="H319" s="75" t="s">
        <v>315</v>
      </c>
      <c r="I319" s="75" t="s">
        <v>315</v>
      </c>
      <c r="J319" s="4"/>
    </row>
    <row r="320" spans="1:10" x14ac:dyDescent="0.25">
      <c r="A320" s="39">
        <v>319</v>
      </c>
      <c r="B320" s="3" t="s">
        <v>1815</v>
      </c>
      <c r="C320" s="75" t="s">
        <v>1816</v>
      </c>
      <c r="D320" s="75" t="s">
        <v>297</v>
      </c>
      <c r="E320" s="75" t="str">
        <f>"০১৭৩৭৪৯৯০৩৭"</f>
        <v>০১৭৩৭৪৯৯০৩৭</v>
      </c>
      <c r="F320" s="22" t="str">
        <f>"8119457818131"</f>
        <v>8119457818131</v>
      </c>
      <c r="G320" s="75" t="str">
        <f>"১৬৩৫"</f>
        <v>১৬৩৫</v>
      </c>
      <c r="H320" s="75" t="s">
        <v>316</v>
      </c>
      <c r="I320" s="75" t="s">
        <v>316</v>
      </c>
      <c r="J320" s="4"/>
    </row>
    <row r="321" spans="1:10" x14ac:dyDescent="0.25">
      <c r="A321" s="39">
        <v>320</v>
      </c>
      <c r="B321" s="3" t="s">
        <v>1817</v>
      </c>
      <c r="C321" s="75" t="s">
        <v>1818</v>
      </c>
      <c r="D321" s="75" t="s">
        <v>297</v>
      </c>
      <c r="E321" s="75" t="str">
        <f>"০"</f>
        <v>০</v>
      </c>
      <c r="F321" s="22" t="str">
        <f>"8119457810051"</f>
        <v>8119457810051</v>
      </c>
      <c r="G321" s="75" t="str">
        <f>"১৬৩৪"</f>
        <v>১৬৩৪</v>
      </c>
      <c r="H321" s="75" t="s">
        <v>317</v>
      </c>
      <c r="I321" s="75" t="s">
        <v>317</v>
      </c>
      <c r="J321" s="4"/>
    </row>
    <row r="322" spans="1:10" x14ac:dyDescent="0.25">
      <c r="A322" s="39">
        <v>321</v>
      </c>
      <c r="B322" s="3" t="s">
        <v>1678</v>
      </c>
      <c r="C322" s="75" t="s">
        <v>1819</v>
      </c>
      <c r="D322" s="75" t="s">
        <v>297</v>
      </c>
      <c r="E322" s="75" t="str">
        <f>"০"</f>
        <v>০</v>
      </c>
      <c r="F322" s="22" t="str">
        <f>"8119457819422"</f>
        <v>8119457819422</v>
      </c>
      <c r="G322" s="75" t="str">
        <f>"১৬৩৩"</f>
        <v>১৬৩৩</v>
      </c>
      <c r="H322" s="75" t="s">
        <v>318</v>
      </c>
      <c r="I322" s="75" t="s">
        <v>318</v>
      </c>
      <c r="J322" s="4"/>
    </row>
    <row r="323" spans="1:10" x14ac:dyDescent="0.25">
      <c r="A323" s="39">
        <v>322</v>
      </c>
      <c r="B323" s="3" t="s">
        <v>1820</v>
      </c>
      <c r="C323" s="75" t="s">
        <v>1821</v>
      </c>
      <c r="D323" s="75" t="s">
        <v>297</v>
      </c>
      <c r="E323" s="75" t="str">
        <f>"০"</f>
        <v>০</v>
      </c>
      <c r="F323" s="22" t="str">
        <f>"8119457819362"</f>
        <v>8119457819362</v>
      </c>
      <c r="G323" s="75" t="str">
        <f>"১৬৩২"</f>
        <v>১৬৩২</v>
      </c>
      <c r="H323" s="75" t="s">
        <v>319</v>
      </c>
      <c r="I323" s="75" t="s">
        <v>319</v>
      </c>
      <c r="J323" s="4"/>
    </row>
    <row r="324" spans="1:10" x14ac:dyDescent="0.25">
      <c r="A324" s="39">
        <v>323</v>
      </c>
      <c r="B324" s="3" t="s">
        <v>1822</v>
      </c>
      <c r="C324" s="75" t="s">
        <v>1690</v>
      </c>
      <c r="D324" s="75" t="s">
        <v>297</v>
      </c>
      <c r="E324" s="75" t="str">
        <f>"০১৭৬৭৫৮৩৭৪৪"</f>
        <v>০১৭৬৭৫৮৩৭৪৪</v>
      </c>
      <c r="F324" s="22" t="str">
        <f>"8119457818114"</f>
        <v>8119457818114</v>
      </c>
      <c r="G324" s="75" t="str">
        <f>"১৬৩১"</f>
        <v>১৬৩১</v>
      </c>
      <c r="H324" s="75" t="s">
        <v>320</v>
      </c>
      <c r="I324" s="75" t="s">
        <v>320</v>
      </c>
      <c r="J324" s="4"/>
    </row>
    <row r="325" spans="1:10" x14ac:dyDescent="0.25">
      <c r="A325" s="39">
        <v>324</v>
      </c>
      <c r="B325" s="3" t="s">
        <v>1823</v>
      </c>
      <c r="C325" s="75" t="s">
        <v>1824</v>
      </c>
      <c r="D325" s="75" t="s">
        <v>297</v>
      </c>
      <c r="E325" s="75" t="str">
        <f>"০"</f>
        <v>০</v>
      </c>
      <c r="F325" s="22" t="str">
        <f>"8119457819383"</f>
        <v>8119457819383</v>
      </c>
      <c r="G325" s="75" t="str">
        <f>"১৬৩০"</f>
        <v>১৬৩০</v>
      </c>
      <c r="H325" s="75" t="s">
        <v>315</v>
      </c>
      <c r="I325" s="75" t="s">
        <v>315</v>
      </c>
      <c r="J325" s="4"/>
    </row>
    <row r="326" spans="1:10" x14ac:dyDescent="0.25">
      <c r="A326" s="39">
        <v>325</v>
      </c>
      <c r="B326" s="3" t="s">
        <v>1635</v>
      </c>
      <c r="C326" s="75" t="s">
        <v>1825</v>
      </c>
      <c r="D326" s="75" t="s">
        <v>297</v>
      </c>
      <c r="E326" s="75" t="str">
        <f>"০১৭৮১৩৫৮৮৬৮"</f>
        <v>০১৭৮১৩৫৮৮৬৮</v>
      </c>
      <c r="F326" s="22" t="str">
        <f>"8119457817982"</f>
        <v>8119457817982</v>
      </c>
      <c r="G326" s="75" t="str">
        <f>"১৬২৯"</f>
        <v>১৬২৯</v>
      </c>
      <c r="H326" s="75" t="s">
        <v>313</v>
      </c>
      <c r="I326" s="75" t="s">
        <v>313</v>
      </c>
      <c r="J326" s="4"/>
    </row>
    <row r="327" spans="1:10" x14ac:dyDescent="0.25">
      <c r="A327" s="39">
        <v>326</v>
      </c>
      <c r="B327" s="3" t="s">
        <v>1660</v>
      </c>
      <c r="C327" s="75" t="s">
        <v>1826</v>
      </c>
      <c r="D327" s="75" t="s">
        <v>297</v>
      </c>
      <c r="E327" s="75" t="str">
        <f>"০১৮১৫২৭৮৫৩৪"</f>
        <v>০১৮১৫২৭৮৫৩৪</v>
      </c>
      <c r="F327" s="22" t="str">
        <f>"8119457818077"</f>
        <v>8119457818077</v>
      </c>
      <c r="G327" s="75" t="str">
        <f>"১৬২৮"</f>
        <v>১৬২৮</v>
      </c>
      <c r="H327" s="75" t="s">
        <v>314</v>
      </c>
      <c r="I327" s="75" t="s">
        <v>314</v>
      </c>
      <c r="J327" s="4"/>
    </row>
    <row r="328" spans="1:10" x14ac:dyDescent="0.25">
      <c r="A328" s="39">
        <v>327</v>
      </c>
      <c r="B328" s="3" t="s">
        <v>1827</v>
      </c>
      <c r="C328" s="75" t="s">
        <v>1734</v>
      </c>
      <c r="D328" s="75" t="s">
        <v>297</v>
      </c>
      <c r="E328" s="75" t="str">
        <f>"০"</f>
        <v>০</v>
      </c>
      <c r="F328" s="22" t="str">
        <f>"8119457819017"</f>
        <v>8119457819017</v>
      </c>
      <c r="G328" s="75" t="str">
        <f>"১৬২৭"</f>
        <v>১৬২৭</v>
      </c>
      <c r="H328" s="75" t="s">
        <v>321</v>
      </c>
      <c r="I328" s="75" t="s">
        <v>321</v>
      </c>
      <c r="J328" s="4"/>
    </row>
    <row r="329" spans="1:10" x14ac:dyDescent="0.25">
      <c r="A329" s="39">
        <v>328</v>
      </c>
      <c r="B329" s="3" t="s">
        <v>1828</v>
      </c>
      <c r="C329" s="75" t="s">
        <v>1770</v>
      </c>
      <c r="D329" s="75" t="s">
        <v>297</v>
      </c>
      <c r="E329" s="75" t="str">
        <f>"০১৭৬৮৫৭৭২০২"</f>
        <v>০১৭৬৮৫৭৭২০২</v>
      </c>
      <c r="F329" s="22" t="str">
        <f>"8119457818133"</f>
        <v>8119457818133</v>
      </c>
      <c r="G329" s="75" t="str">
        <f>"১৬২৬"</f>
        <v>১৬২৬</v>
      </c>
      <c r="H329" s="75" t="s">
        <v>322</v>
      </c>
      <c r="I329" s="75" t="s">
        <v>322</v>
      </c>
      <c r="J329" s="4"/>
    </row>
    <row r="330" spans="1:10" x14ac:dyDescent="0.25">
      <c r="A330" s="39">
        <v>329</v>
      </c>
      <c r="B330" s="3" t="s">
        <v>1829</v>
      </c>
      <c r="C330" s="75" t="s">
        <v>1830</v>
      </c>
      <c r="D330" s="75" t="s">
        <v>297</v>
      </c>
      <c r="E330" s="75" t="str">
        <f>"০১৭৬১৫৫০১৫৮"</f>
        <v>০১৭৬১৫৫০১৫৮</v>
      </c>
      <c r="F330" s="22" t="str">
        <f>"8119457818055"</f>
        <v>8119457818055</v>
      </c>
      <c r="G330" s="75" t="str">
        <f>"১৬২৫"</f>
        <v>১৬২৫</v>
      </c>
      <c r="H330" s="75" t="s">
        <v>314</v>
      </c>
      <c r="I330" s="75" t="s">
        <v>314</v>
      </c>
      <c r="J330" s="4"/>
    </row>
    <row r="331" spans="1:10" x14ac:dyDescent="0.25">
      <c r="A331" s="39">
        <v>330</v>
      </c>
      <c r="B331" s="3" t="s">
        <v>1726</v>
      </c>
      <c r="C331" s="75" t="s">
        <v>1682</v>
      </c>
      <c r="D331" s="75" t="s">
        <v>297</v>
      </c>
      <c r="E331" s="75" t="str">
        <f>"০১৮৫৯৯৭৭৯৪৯"</f>
        <v>০১৮৫৯৯৭৭৯৪৯</v>
      </c>
      <c r="F331" s="22" t="str">
        <f>"8119457817911"</f>
        <v>8119457817911</v>
      </c>
      <c r="G331" s="75" t="str">
        <f>"১৬২৪"</f>
        <v>১৬২৪</v>
      </c>
      <c r="H331" s="75" t="s">
        <v>323</v>
      </c>
      <c r="I331" s="75" t="s">
        <v>323</v>
      </c>
      <c r="J331" s="4"/>
    </row>
    <row r="332" spans="1:10" x14ac:dyDescent="0.25">
      <c r="A332" s="39">
        <v>331</v>
      </c>
      <c r="B332" s="3" t="s">
        <v>1831</v>
      </c>
      <c r="C332" s="75" t="s">
        <v>1832</v>
      </c>
      <c r="D332" s="75" t="s">
        <v>297</v>
      </c>
      <c r="E332" s="75" t="str">
        <f>"০"</f>
        <v>০</v>
      </c>
      <c r="F332" s="22" t="str">
        <f>"8119457816352"</f>
        <v>8119457816352</v>
      </c>
      <c r="G332" s="75" t="str">
        <f>"১৬২৩"</f>
        <v>১৬২৩</v>
      </c>
      <c r="H332" s="75" t="s">
        <v>324</v>
      </c>
      <c r="I332" s="75" t="s">
        <v>324</v>
      </c>
      <c r="J332" s="4"/>
    </row>
    <row r="333" spans="1:10" x14ac:dyDescent="0.25">
      <c r="A333" s="39">
        <v>332</v>
      </c>
      <c r="B333" s="3" t="s">
        <v>1833</v>
      </c>
      <c r="C333" s="75" t="s">
        <v>1834</v>
      </c>
      <c r="D333" s="75" t="s">
        <v>297</v>
      </c>
      <c r="E333" s="75" t="str">
        <f>"০১৭৭৪২০৯৯১২"</f>
        <v>০১৭৭৪২০৯৯১২</v>
      </c>
      <c r="F333" s="22" t="str">
        <f>"811945781818"</f>
        <v>811945781818</v>
      </c>
      <c r="G333" s="75" t="str">
        <f>"১৬২২"</f>
        <v>১৬২২</v>
      </c>
      <c r="H333" s="75" t="s">
        <v>325</v>
      </c>
      <c r="I333" s="75" t="s">
        <v>325</v>
      </c>
      <c r="J333" s="4"/>
    </row>
    <row r="334" spans="1:10" x14ac:dyDescent="0.25">
      <c r="A334" s="39">
        <v>333</v>
      </c>
      <c r="B334" s="3" t="s">
        <v>1835</v>
      </c>
      <c r="C334" s="75" t="s">
        <v>1677</v>
      </c>
      <c r="D334" s="75" t="s">
        <v>297</v>
      </c>
      <c r="E334" s="75" t="str">
        <f>"০১৭৩৯২৭৯৬৪৯"</f>
        <v>০১৭৩৯২৭৯৬৪৯</v>
      </c>
      <c r="F334" s="22" t="str">
        <f>"8119457819452"</f>
        <v>8119457819452</v>
      </c>
      <c r="G334" s="75" t="str">
        <f>"১৬২১"</f>
        <v>১৬২১</v>
      </c>
      <c r="H334" s="75" t="s">
        <v>319</v>
      </c>
      <c r="I334" s="75" t="s">
        <v>319</v>
      </c>
      <c r="J334" s="4"/>
    </row>
    <row r="335" spans="1:10" x14ac:dyDescent="0.25">
      <c r="A335" s="39">
        <v>334</v>
      </c>
      <c r="B335" s="3" t="s">
        <v>1836</v>
      </c>
      <c r="C335" s="75" t="s">
        <v>1837</v>
      </c>
      <c r="D335" s="75" t="s">
        <v>297</v>
      </c>
      <c r="E335" s="75" t="str">
        <f>"০১৭৩৮০৬৮৮২৪"</f>
        <v>০১৭৩৮০৬৮৮২৪</v>
      </c>
      <c r="F335" s="22" t="str">
        <f>"8119457819350"</f>
        <v>8119457819350</v>
      </c>
      <c r="G335" s="75" t="str">
        <f>"১৬২০"</f>
        <v>১৬২০</v>
      </c>
      <c r="H335" s="75" t="s">
        <v>326</v>
      </c>
      <c r="I335" s="75" t="s">
        <v>326</v>
      </c>
      <c r="J335" s="4"/>
    </row>
    <row r="336" spans="1:10" x14ac:dyDescent="0.25">
      <c r="A336" s="39">
        <v>335</v>
      </c>
      <c r="B336" s="3" t="s">
        <v>1759</v>
      </c>
      <c r="C336" s="75" t="s">
        <v>1547</v>
      </c>
      <c r="D336" s="75" t="s">
        <v>297</v>
      </c>
      <c r="E336" s="75" t="str">
        <f>"০"</f>
        <v>০</v>
      </c>
      <c r="F336" s="22" t="str">
        <f>"8119457817858"</f>
        <v>8119457817858</v>
      </c>
      <c r="G336" s="75" t="str">
        <f>"১৬১৯"</f>
        <v>১৬১৯</v>
      </c>
      <c r="H336" s="75" t="s">
        <v>327</v>
      </c>
      <c r="I336" s="75" t="s">
        <v>327</v>
      </c>
      <c r="J336" s="4"/>
    </row>
    <row r="337" spans="1:10" x14ac:dyDescent="0.25">
      <c r="A337" s="39">
        <v>336</v>
      </c>
      <c r="B337" s="3" t="s">
        <v>1838</v>
      </c>
      <c r="C337" s="75" t="s">
        <v>1839</v>
      </c>
      <c r="D337" s="75" t="s">
        <v>297</v>
      </c>
      <c r="E337" s="75" t="str">
        <f>"০"</f>
        <v>০</v>
      </c>
      <c r="F337" s="22" t="str">
        <f>"8119457817879"</f>
        <v>8119457817879</v>
      </c>
      <c r="G337" s="75" t="str">
        <f>"১৬১৮"</f>
        <v>১৬১৮</v>
      </c>
      <c r="H337" s="75" t="s">
        <v>328</v>
      </c>
      <c r="I337" s="75" t="s">
        <v>328</v>
      </c>
      <c r="J337" s="4"/>
    </row>
    <row r="338" spans="1:10" x14ac:dyDescent="0.25">
      <c r="A338" s="39">
        <v>337</v>
      </c>
      <c r="B338" s="3" t="s">
        <v>1840</v>
      </c>
      <c r="C338" s="75" t="s">
        <v>1841</v>
      </c>
      <c r="D338" s="75" t="s">
        <v>297</v>
      </c>
      <c r="E338" s="75" t="str">
        <f>"০১৭২২৫০৩৫৯৩"</f>
        <v>০১৭২২৫০৩৫৯৩</v>
      </c>
      <c r="F338" s="22" t="str">
        <f>"8119457818000"</f>
        <v>8119457818000</v>
      </c>
      <c r="G338" s="75" t="str">
        <f>"১৬১৬"</f>
        <v>১৬১৬</v>
      </c>
      <c r="H338" s="75" t="s">
        <v>330</v>
      </c>
      <c r="I338" s="75" t="s">
        <v>330</v>
      </c>
      <c r="J338" s="4"/>
    </row>
    <row r="339" spans="1:10" x14ac:dyDescent="0.25">
      <c r="A339" s="39">
        <v>338</v>
      </c>
      <c r="B339" s="3" t="s">
        <v>1842</v>
      </c>
      <c r="C339" s="75" t="s">
        <v>1843</v>
      </c>
      <c r="D339" s="75" t="s">
        <v>297</v>
      </c>
      <c r="E339" s="75" t="str">
        <f>"০১৭২২৫০২৭৮২"</f>
        <v>০১৭২২৫০২৭৮২</v>
      </c>
      <c r="F339" s="22" t="str">
        <f>"8119457818080"</f>
        <v>8119457818080</v>
      </c>
      <c r="G339" s="75" t="str">
        <f>"১৬১৫"</f>
        <v>১৬১৫</v>
      </c>
      <c r="H339" s="75" t="s">
        <v>319</v>
      </c>
      <c r="I339" s="75" t="s">
        <v>319</v>
      </c>
      <c r="J339" s="4"/>
    </row>
    <row r="340" spans="1:10" x14ac:dyDescent="0.25">
      <c r="A340" s="39">
        <v>339</v>
      </c>
      <c r="B340" s="3" t="s">
        <v>1844</v>
      </c>
      <c r="C340" s="75" t="s">
        <v>1845</v>
      </c>
      <c r="D340" s="75" t="s">
        <v>297</v>
      </c>
      <c r="E340" s="75" t="str">
        <f>"০"</f>
        <v>০</v>
      </c>
      <c r="F340" s="22" t="str">
        <f>"8119457817900"</f>
        <v>8119457817900</v>
      </c>
      <c r="G340" s="75" t="str">
        <f>"১৬১৪"</f>
        <v>১৬১৪</v>
      </c>
      <c r="H340" s="75" t="s">
        <v>317</v>
      </c>
      <c r="I340" s="75" t="s">
        <v>317</v>
      </c>
      <c r="J340" s="4"/>
    </row>
    <row r="341" spans="1:10" x14ac:dyDescent="0.25">
      <c r="A341" s="39">
        <v>340</v>
      </c>
      <c r="B341" s="3" t="s">
        <v>1679</v>
      </c>
      <c r="C341" s="75" t="s">
        <v>1842</v>
      </c>
      <c r="D341" s="75" t="s">
        <v>297</v>
      </c>
      <c r="E341" s="75" t="str">
        <f>"০১৭২২৫০২৭৮২"</f>
        <v>০১৭২২৫০২৭৮২</v>
      </c>
      <c r="F341" s="22" t="str">
        <f>"8119457818082"</f>
        <v>8119457818082</v>
      </c>
      <c r="G341" s="75" t="str">
        <f>"১৬১৩"</f>
        <v>১৬১৩</v>
      </c>
      <c r="H341" s="75" t="s">
        <v>323</v>
      </c>
      <c r="I341" s="75" t="s">
        <v>323</v>
      </c>
      <c r="J341" s="4"/>
    </row>
    <row r="342" spans="1:10" x14ac:dyDescent="0.25">
      <c r="A342" s="39">
        <v>341</v>
      </c>
      <c r="B342" s="3" t="s">
        <v>1628</v>
      </c>
      <c r="C342" s="75" t="s">
        <v>1635</v>
      </c>
      <c r="D342" s="75" t="s">
        <v>297</v>
      </c>
      <c r="E342" s="75" t="str">
        <f>"০১৭২৪৯৫৮৪১৯"</f>
        <v>০১৭২৪৯৫৮৪১৯</v>
      </c>
      <c r="F342" s="22" t="str">
        <f>"8119457819185"</f>
        <v>8119457819185</v>
      </c>
      <c r="G342" s="75" t="str">
        <f>"১৬১২"</f>
        <v>১৬১২</v>
      </c>
      <c r="H342" s="75" t="s">
        <v>326</v>
      </c>
      <c r="I342" s="75" t="s">
        <v>326</v>
      </c>
      <c r="J342" s="4"/>
    </row>
    <row r="343" spans="1:10" x14ac:dyDescent="0.25">
      <c r="A343" s="39">
        <v>342</v>
      </c>
      <c r="B343" s="3" t="s">
        <v>1846</v>
      </c>
      <c r="C343" s="75" t="s">
        <v>1788</v>
      </c>
      <c r="D343" s="75" t="s">
        <v>297</v>
      </c>
      <c r="E343" s="75" t="str">
        <f>"০"</f>
        <v>০</v>
      </c>
      <c r="F343" s="22" t="str">
        <f>"8119457819166"</f>
        <v>8119457819166</v>
      </c>
      <c r="G343" s="75" t="str">
        <f>"১৬১১"</f>
        <v>১৬১১</v>
      </c>
      <c r="H343" s="75" t="s">
        <v>331</v>
      </c>
      <c r="I343" s="75" t="s">
        <v>331</v>
      </c>
      <c r="J343" s="4"/>
    </row>
    <row r="344" spans="1:10" x14ac:dyDescent="0.25">
      <c r="A344" s="39">
        <v>343</v>
      </c>
      <c r="B344" s="3" t="s">
        <v>1847</v>
      </c>
      <c r="C344" s="75" t="s">
        <v>1848</v>
      </c>
      <c r="D344" s="75" t="s">
        <v>297</v>
      </c>
      <c r="E344" s="75" t="str">
        <f>"০"</f>
        <v>০</v>
      </c>
      <c r="F344" s="22" t="str">
        <f>"8119457818062"</f>
        <v>8119457818062</v>
      </c>
      <c r="G344" s="75" t="str">
        <f>"১৬১০"</f>
        <v>১৬১০</v>
      </c>
      <c r="H344" s="75" t="s">
        <v>329</v>
      </c>
      <c r="I344" s="75" t="s">
        <v>329</v>
      </c>
      <c r="J344" s="4"/>
    </row>
    <row r="345" spans="1:10" x14ac:dyDescent="0.25">
      <c r="A345" s="39">
        <v>344</v>
      </c>
      <c r="B345" s="3" t="s">
        <v>1676</v>
      </c>
      <c r="C345" s="75" t="s">
        <v>1849</v>
      </c>
      <c r="D345" s="75" t="s">
        <v>297</v>
      </c>
      <c r="E345" s="75" t="str">
        <f>"০১৭২২৩০৩৫৯৩"</f>
        <v>০১৭২২৩০৩৫৯৩</v>
      </c>
      <c r="F345" s="22" t="str">
        <f>"8119457817999"</f>
        <v>8119457817999</v>
      </c>
      <c r="G345" s="75" t="str">
        <f>"১৬০৯"</f>
        <v>১৬০৯</v>
      </c>
      <c r="H345" s="75" t="s">
        <v>332</v>
      </c>
      <c r="I345" s="75" t="s">
        <v>332</v>
      </c>
      <c r="J345" s="4"/>
    </row>
    <row r="346" spans="1:10" x14ac:dyDescent="0.25">
      <c r="A346" s="39">
        <v>345</v>
      </c>
      <c r="B346" s="3" t="s">
        <v>1850</v>
      </c>
      <c r="C346" s="75" t="s">
        <v>1851</v>
      </c>
      <c r="D346" s="75" t="s">
        <v>297</v>
      </c>
      <c r="E346" s="75" t="str">
        <f>"০১৭৩৫৭৫৮২৮৩"</f>
        <v>০১৭৩৫৭৫৮২৮৩</v>
      </c>
      <c r="F346" s="22" t="str">
        <f>"8119457817993"</f>
        <v>8119457817993</v>
      </c>
      <c r="G346" s="75" t="str">
        <f>"১৬০৮"</f>
        <v>১৬০৮</v>
      </c>
      <c r="H346" s="75" t="s">
        <v>316</v>
      </c>
      <c r="I346" s="75" t="s">
        <v>316</v>
      </c>
      <c r="J346" s="4"/>
    </row>
    <row r="347" spans="1:10" x14ac:dyDescent="0.25">
      <c r="A347" s="39">
        <v>346</v>
      </c>
      <c r="B347" s="3" t="s">
        <v>1852</v>
      </c>
      <c r="C347" s="75" t="s">
        <v>1853</v>
      </c>
      <c r="D347" s="75" t="s">
        <v>297</v>
      </c>
      <c r="E347" s="75" t="str">
        <f>"০"</f>
        <v>০</v>
      </c>
      <c r="F347" s="22" t="str">
        <f>"8119457819506"</f>
        <v>8119457819506</v>
      </c>
      <c r="G347" s="75" t="str">
        <f>"১৬০৭"</f>
        <v>১৬০৭</v>
      </c>
      <c r="H347" s="75" t="s">
        <v>330</v>
      </c>
      <c r="I347" s="75" t="s">
        <v>330</v>
      </c>
      <c r="J347" s="4"/>
    </row>
    <row r="348" spans="1:10" x14ac:dyDescent="0.25">
      <c r="A348" s="39">
        <v>347</v>
      </c>
      <c r="B348" s="3" t="s">
        <v>1854</v>
      </c>
      <c r="C348" s="75" t="s">
        <v>1855</v>
      </c>
      <c r="D348" s="75" t="s">
        <v>297</v>
      </c>
      <c r="E348" s="75" t="str">
        <f>"০১৭১৪৬০৪১৫৭"</f>
        <v>০১৭১৪৬০৪১৫৭</v>
      </c>
      <c r="F348" s="22" t="str">
        <f>"8119457819045"</f>
        <v>8119457819045</v>
      </c>
      <c r="G348" s="75" t="str">
        <f>"১৬০৬"</f>
        <v>১৬০৬</v>
      </c>
      <c r="H348" s="75" t="s">
        <v>333</v>
      </c>
      <c r="I348" s="75" t="s">
        <v>333</v>
      </c>
      <c r="J348" s="4"/>
    </row>
    <row r="349" spans="1:10" x14ac:dyDescent="0.25">
      <c r="A349" s="39">
        <v>348</v>
      </c>
      <c r="B349" s="3" t="s">
        <v>1856</v>
      </c>
      <c r="C349" s="75" t="s">
        <v>1679</v>
      </c>
      <c r="D349" s="75" t="s">
        <v>297</v>
      </c>
      <c r="E349" s="75" t="str">
        <f>"০"</f>
        <v>০</v>
      </c>
      <c r="F349" s="22" t="str">
        <f>"8119457818668"</f>
        <v>8119457818668</v>
      </c>
      <c r="G349" s="75" t="str">
        <f>"১৬০৫"</f>
        <v>১৬০৫</v>
      </c>
      <c r="H349" s="75" t="s">
        <v>319</v>
      </c>
      <c r="I349" s="75" t="s">
        <v>319</v>
      </c>
      <c r="J349" s="4"/>
    </row>
    <row r="350" spans="1:10" x14ac:dyDescent="0.25">
      <c r="A350" s="39">
        <v>349</v>
      </c>
      <c r="B350" s="3" t="s">
        <v>1857</v>
      </c>
      <c r="C350" s="75" t="s">
        <v>1858</v>
      </c>
      <c r="D350" s="75" t="s">
        <v>297</v>
      </c>
      <c r="E350" s="75" t="str">
        <f>"০"</f>
        <v>০</v>
      </c>
      <c r="F350" s="22" t="str">
        <f>"8119457818159"</f>
        <v>8119457818159</v>
      </c>
      <c r="G350" s="75" t="str">
        <f>"১৬০৪"</f>
        <v>১৬০৪</v>
      </c>
      <c r="H350" s="75" t="s">
        <v>322</v>
      </c>
      <c r="I350" s="75" t="s">
        <v>322</v>
      </c>
      <c r="J350" s="4"/>
    </row>
    <row r="351" spans="1:10" x14ac:dyDescent="0.25">
      <c r="A351" s="39">
        <v>350</v>
      </c>
      <c r="B351" s="3" t="s">
        <v>1859</v>
      </c>
      <c r="C351" s="75" t="s">
        <v>1860</v>
      </c>
      <c r="D351" s="75" t="s">
        <v>297</v>
      </c>
      <c r="E351" s="75" t="str">
        <f>"০"</f>
        <v>০</v>
      </c>
      <c r="F351" s="22" t="str">
        <f>"8119457819426"</f>
        <v>8119457819426</v>
      </c>
      <c r="G351" s="75" t="str">
        <f>"১৬০৩"</f>
        <v>১৬০৩</v>
      </c>
      <c r="H351" s="75" t="s">
        <v>319</v>
      </c>
      <c r="I351" s="75" t="s">
        <v>319</v>
      </c>
      <c r="J351" s="4"/>
    </row>
    <row r="352" spans="1:10" x14ac:dyDescent="0.25">
      <c r="A352" s="39">
        <v>351</v>
      </c>
      <c r="B352" s="3" t="s">
        <v>1861</v>
      </c>
      <c r="C352" s="75" t="s">
        <v>1862</v>
      </c>
      <c r="D352" s="75" t="s">
        <v>297</v>
      </c>
      <c r="E352" s="75" t="str">
        <f>"০"</f>
        <v>০</v>
      </c>
      <c r="F352" s="22" t="str">
        <f>"8119457819308"</f>
        <v>8119457819308</v>
      </c>
      <c r="G352" s="75" t="str">
        <f>"১৬০২"</f>
        <v>১৬০২</v>
      </c>
      <c r="H352" s="75" t="s">
        <v>313</v>
      </c>
      <c r="I352" s="75" t="s">
        <v>313</v>
      </c>
      <c r="J352" s="4"/>
    </row>
    <row r="353" spans="1:10" x14ac:dyDescent="0.25">
      <c r="A353" s="39">
        <v>352</v>
      </c>
      <c r="B353" s="3" t="s">
        <v>1630</v>
      </c>
      <c r="C353" s="75" t="s">
        <v>1863</v>
      </c>
      <c r="D353" s="75" t="s">
        <v>297</v>
      </c>
      <c r="E353" s="75" t="str">
        <f>"০"</f>
        <v>০</v>
      </c>
      <c r="F353" s="22" t="str">
        <f>"8119457819390"</f>
        <v>8119457819390</v>
      </c>
      <c r="G353" s="75" t="str">
        <f>"১৬০১"</f>
        <v>১৬০১</v>
      </c>
      <c r="H353" s="75" t="s">
        <v>314</v>
      </c>
      <c r="I353" s="75" t="s">
        <v>314</v>
      </c>
      <c r="J353" s="4"/>
    </row>
    <row r="354" spans="1:10" x14ac:dyDescent="0.25">
      <c r="A354" s="39">
        <v>353</v>
      </c>
      <c r="B354" s="3" t="s">
        <v>1693</v>
      </c>
      <c r="C354" s="75" t="s">
        <v>1864</v>
      </c>
      <c r="D354" s="75" t="s">
        <v>297</v>
      </c>
      <c r="E354" s="75" t="str">
        <f>"০১৭৩৫৭৫৮২৮২"</f>
        <v>০১৭৩৫৭৫৮২৮২</v>
      </c>
      <c r="F354" s="22" t="str">
        <f>"8119457818238"</f>
        <v>8119457818238</v>
      </c>
      <c r="G354" s="75" t="str">
        <f>"১৬০০"</f>
        <v>১৬০০</v>
      </c>
      <c r="H354" s="75" t="s">
        <v>315</v>
      </c>
      <c r="I354" s="75" t="s">
        <v>315</v>
      </c>
      <c r="J354" s="4"/>
    </row>
    <row r="355" spans="1:10" x14ac:dyDescent="0.25">
      <c r="A355" s="39">
        <v>354</v>
      </c>
      <c r="B355" s="3" t="s">
        <v>1865</v>
      </c>
      <c r="C355" s="75" t="s">
        <v>1866</v>
      </c>
      <c r="D355" s="75" t="s">
        <v>297</v>
      </c>
      <c r="E355" s="75" t="str">
        <f>"০১৮২১৫৬০১৮৫"</f>
        <v>০১৮২১৫৬০১৮৫</v>
      </c>
      <c r="F355" s="22" t="str">
        <f>"8119457000137"</f>
        <v>8119457000137</v>
      </c>
      <c r="G355" s="75" t="str">
        <f>"১৫৯৯"</f>
        <v>১৫৯৯</v>
      </c>
      <c r="H355" s="75" t="s">
        <v>316</v>
      </c>
      <c r="I355" s="75" t="s">
        <v>316</v>
      </c>
      <c r="J355" s="4"/>
    </row>
    <row r="356" spans="1:10" x14ac:dyDescent="0.25">
      <c r="A356" s="39">
        <v>355</v>
      </c>
      <c r="B356" s="3" t="s">
        <v>1867</v>
      </c>
      <c r="C356" s="75" t="s">
        <v>1868</v>
      </c>
      <c r="D356" s="75" t="s">
        <v>297</v>
      </c>
      <c r="E356" s="75" t="str">
        <f>"০"</f>
        <v>০</v>
      </c>
      <c r="F356" s="22" t="str">
        <f>"8119457818318"</f>
        <v>8119457818318</v>
      </c>
      <c r="G356" s="75" t="str">
        <f>"১৫৯৮"</f>
        <v>১৫৯৮</v>
      </c>
      <c r="H356" s="75" t="s">
        <v>317</v>
      </c>
      <c r="I356" s="75" t="s">
        <v>317</v>
      </c>
      <c r="J356" s="4"/>
    </row>
    <row r="357" spans="1:10" x14ac:dyDescent="0.25">
      <c r="A357" s="39">
        <v>356</v>
      </c>
      <c r="B357" s="3" t="s">
        <v>1869</v>
      </c>
      <c r="C357" s="75" t="s">
        <v>1770</v>
      </c>
      <c r="D357" s="75" t="s">
        <v>297</v>
      </c>
      <c r="E357" s="75" t="str">
        <f>"০১৭৬৮৫৭১২০২"</f>
        <v>০১৭৬৮৫৭১২০২</v>
      </c>
      <c r="F357" s="22" t="str">
        <f>"8119457818210"</f>
        <v>8119457818210</v>
      </c>
      <c r="G357" s="75" t="str">
        <f>"১৫৯৭"</f>
        <v>১৫৯৭</v>
      </c>
      <c r="H357" s="75" t="s">
        <v>318</v>
      </c>
      <c r="I357" s="75" t="s">
        <v>318</v>
      </c>
      <c r="J357" s="4"/>
    </row>
    <row r="358" spans="1:10" x14ac:dyDescent="0.25">
      <c r="A358" s="39">
        <v>357</v>
      </c>
      <c r="B358" s="3" t="s">
        <v>1870</v>
      </c>
      <c r="C358" s="75" t="s">
        <v>1871</v>
      </c>
      <c r="D358" s="75" t="s">
        <v>297</v>
      </c>
      <c r="E358" s="75" t="str">
        <f>"০"</f>
        <v>০</v>
      </c>
      <c r="F358" s="22" t="str">
        <f>"8119457817942"</f>
        <v>8119457817942</v>
      </c>
      <c r="G358" s="75" t="str">
        <f>"১৫৯৬"</f>
        <v>১৫৯৬</v>
      </c>
      <c r="H358" s="75" t="s">
        <v>319</v>
      </c>
      <c r="I358" s="75" t="s">
        <v>319</v>
      </c>
      <c r="J358" s="4"/>
    </row>
    <row r="359" spans="1:10" x14ac:dyDescent="0.25">
      <c r="A359" s="39">
        <v>358</v>
      </c>
      <c r="B359" s="3" t="s">
        <v>1872</v>
      </c>
      <c r="C359" s="75" t="s">
        <v>1873</v>
      </c>
      <c r="D359" s="75" t="s">
        <v>299</v>
      </c>
      <c r="E359" s="75" t="str">
        <f>"০১৭৫৮১৬৫৬৯১"</f>
        <v>০১৭৫৮১৬৫৬৯১</v>
      </c>
      <c r="F359" s="22" t="str">
        <f>"8119457817780"</f>
        <v>8119457817780</v>
      </c>
      <c r="G359" s="75" t="str">
        <f>"০০৩০"</f>
        <v>০০৩০</v>
      </c>
      <c r="H359" s="75" t="s">
        <v>320</v>
      </c>
      <c r="I359" s="75" t="s">
        <v>320</v>
      </c>
      <c r="J359" s="4"/>
    </row>
    <row r="360" spans="1:10" x14ac:dyDescent="0.25">
      <c r="A360" s="39">
        <v>359</v>
      </c>
      <c r="B360" s="3" t="s">
        <v>1781</v>
      </c>
      <c r="C360" s="75" t="s">
        <v>1874</v>
      </c>
      <c r="D360" s="75" t="s">
        <v>299</v>
      </c>
      <c r="E360" s="75" t="str">
        <f>"০১৭২০২৭৫৩৭৭"</f>
        <v>০১৭২০২৭৫৩৭৭</v>
      </c>
      <c r="F360" s="22" t="str">
        <f>"8119457814892"</f>
        <v>8119457814892</v>
      </c>
      <c r="G360" s="75" t="str">
        <f>"০০২৯"</f>
        <v>০০২৯</v>
      </c>
      <c r="H360" s="75" t="s">
        <v>315</v>
      </c>
      <c r="I360" s="75" t="s">
        <v>315</v>
      </c>
      <c r="J360" s="4"/>
    </row>
    <row r="361" spans="1:10" x14ac:dyDescent="0.25">
      <c r="A361" s="39">
        <v>360</v>
      </c>
      <c r="B361" s="3" t="s">
        <v>1875</v>
      </c>
      <c r="C361" s="75" t="s">
        <v>1876</v>
      </c>
      <c r="D361" s="75" t="s">
        <v>299</v>
      </c>
      <c r="E361" s="75" t="str">
        <f>"০১৭৩৯৪৮৪৬৯১"</f>
        <v>০১৭৩৯৪৮৪৬৯১</v>
      </c>
      <c r="F361" s="22" t="str">
        <f>"8119457817470"</f>
        <v>8119457817470</v>
      </c>
      <c r="G361" s="75" t="str">
        <f>"০০২৮"</f>
        <v>০০২৮</v>
      </c>
      <c r="H361" s="75" t="s">
        <v>313</v>
      </c>
      <c r="I361" s="75" t="s">
        <v>313</v>
      </c>
      <c r="J361" s="4"/>
    </row>
    <row r="362" spans="1:10" x14ac:dyDescent="0.25">
      <c r="A362" s="39">
        <v>361</v>
      </c>
      <c r="B362" s="3" t="s">
        <v>1877</v>
      </c>
      <c r="C362" s="75" t="s">
        <v>1878</v>
      </c>
      <c r="D362" s="75" t="s">
        <v>299</v>
      </c>
      <c r="E362" s="75" t="str">
        <f>"০১৯৭১৫২৩৩২৭"</f>
        <v>০১৯৭১৫২৩৩২৭</v>
      </c>
      <c r="F362" s="22" t="str">
        <f>"8119457000121"</f>
        <v>8119457000121</v>
      </c>
      <c r="G362" s="75" t="str">
        <f>"০০২৭"</f>
        <v>০০২৭</v>
      </c>
      <c r="H362" s="75" t="s">
        <v>314</v>
      </c>
      <c r="I362" s="75" t="s">
        <v>314</v>
      </c>
      <c r="J362" s="4"/>
    </row>
    <row r="363" spans="1:10" x14ac:dyDescent="0.25">
      <c r="A363" s="39">
        <v>362</v>
      </c>
      <c r="B363" s="3" t="s">
        <v>1879</v>
      </c>
      <c r="C363" s="75" t="s">
        <v>1880</v>
      </c>
      <c r="D363" s="75" t="s">
        <v>299</v>
      </c>
      <c r="E363" s="75" t="str">
        <f>"০১৭৭০৬৪৮৭৭৭"</f>
        <v>০১৭৭০৬৪৮৭৭৭</v>
      </c>
      <c r="F363" s="22" t="str">
        <f>"8119457817738"</f>
        <v>8119457817738</v>
      </c>
      <c r="G363" s="75" t="str">
        <f>"০০৪০"</f>
        <v>০০৪০</v>
      </c>
      <c r="H363" s="75" t="s">
        <v>321</v>
      </c>
      <c r="I363" s="75" t="s">
        <v>321</v>
      </c>
      <c r="J363" s="4"/>
    </row>
    <row r="364" spans="1:10" x14ac:dyDescent="0.25">
      <c r="A364" s="39">
        <v>363</v>
      </c>
      <c r="B364" s="3" t="s">
        <v>1697</v>
      </c>
      <c r="C364" s="75" t="s">
        <v>1656</v>
      </c>
      <c r="D364" s="75" t="s">
        <v>299</v>
      </c>
      <c r="E364" s="75" t="str">
        <f>"০১৭৪০৯৪৬৭১৬"</f>
        <v>০১৭৪০৯৪৬৭১৬</v>
      </c>
      <c r="F364" s="22" t="str">
        <f>"8119457814888"</f>
        <v>8119457814888</v>
      </c>
      <c r="G364" s="75" t="str">
        <f>"০০৩৯"</f>
        <v>০০৩৯</v>
      </c>
      <c r="H364" s="75" t="s">
        <v>322</v>
      </c>
      <c r="I364" s="75" t="s">
        <v>322</v>
      </c>
      <c r="J364" s="4"/>
    </row>
    <row r="365" spans="1:10" x14ac:dyDescent="0.25">
      <c r="A365" s="39">
        <v>364</v>
      </c>
      <c r="B365" s="3" t="s">
        <v>1881</v>
      </c>
      <c r="C365" s="75" t="s">
        <v>1882</v>
      </c>
      <c r="D365" s="75" t="s">
        <v>299</v>
      </c>
      <c r="E365" s="75" t="str">
        <f>"০১৭৩৭৪৩০৯০২"</f>
        <v>০১৭৩৭৪৩০৯০২</v>
      </c>
      <c r="F365" s="22" t="str">
        <f>"8119457817643"</f>
        <v>8119457817643</v>
      </c>
      <c r="G365" s="75" t="str">
        <f>"০০৩৮"</f>
        <v>০০৩৮</v>
      </c>
      <c r="H365" s="75" t="s">
        <v>314</v>
      </c>
      <c r="I365" s="75" t="s">
        <v>314</v>
      </c>
      <c r="J365" s="4"/>
    </row>
    <row r="366" spans="1:10" x14ac:dyDescent="0.25">
      <c r="A366" s="39">
        <v>365</v>
      </c>
      <c r="B366" s="3" t="s">
        <v>1883</v>
      </c>
      <c r="C366" s="75" t="s">
        <v>1884</v>
      </c>
      <c r="D366" s="75" t="s">
        <v>299</v>
      </c>
      <c r="E366" s="75" t="str">
        <f>"০১৭২১১০২৬৮৩"</f>
        <v>০১৭২১১০২৬৮৩</v>
      </c>
      <c r="F366" s="22" t="str">
        <f>"8119457819422"</f>
        <v>8119457819422</v>
      </c>
      <c r="G366" s="75" t="str">
        <f>"০০৪৯"</f>
        <v>০০৪৯</v>
      </c>
      <c r="H366" s="75" t="s">
        <v>323</v>
      </c>
      <c r="I366" s="75" t="s">
        <v>323</v>
      </c>
      <c r="J366" s="4"/>
    </row>
    <row r="367" spans="1:10" x14ac:dyDescent="0.25">
      <c r="A367" s="39">
        <v>366</v>
      </c>
      <c r="B367" s="3" t="s">
        <v>1885</v>
      </c>
      <c r="C367" s="75" t="s">
        <v>1886</v>
      </c>
      <c r="D367" s="75" t="s">
        <v>299</v>
      </c>
      <c r="E367" s="75" t="str">
        <f>"০১৭৩৫৮৫২৪৮০"</f>
        <v>০১৭৩৫৮৫২৪৮০</v>
      </c>
      <c r="F367" s="22" t="str">
        <f>"8119457817683"</f>
        <v>8119457817683</v>
      </c>
      <c r="G367" s="75" t="str">
        <f>"০০৪৮"</f>
        <v>০০৪৮</v>
      </c>
      <c r="H367" s="75" t="s">
        <v>324</v>
      </c>
      <c r="I367" s="75" t="s">
        <v>324</v>
      </c>
      <c r="J367" s="4"/>
    </row>
    <row r="368" spans="1:10" x14ac:dyDescent="0.25">
      <c r="A368" s="39">
        <v>367</v>
      </c>
      <c r="B368" s="3" t="s">
        <v>1887</v>
      </c>
      <c r="C368" s="75" t="s">
        <v>1888</v>
      </c>
      <c r="D368" s="75" t="s">
        <v>299</v>
      </c>
      <c r="E368" s="75" t="str">
        <f>"০"</f>
        <v>০</v>
      </c>
      <c r="F368" s="22" t="str">
        <f>"8119457817621"</f>
        <v>8119457817621</v>
      </c>
      <c r="G368" s="75" t="str">
        <f>"০০৪৭"</f>
        <v>০০৪৭</v>
      </c>
      <c r="H368" s="75" t="s">
        <v>325</v>
      </c>
      <c r="I368" s="75" t="s">
        <v>325</v>
      </c>
      <c r="J368" s="4"/>
    </row>
    <row r="369" spans="1:10" x14ac:dyDescent="0.25">
      <c r="A369" s="39">
        <v>368</v>
      </c>
      <c r="B369" s="3" t="s">
        <v>1889</v>
      </c>
      <c r="C369" s="75" t="s">
        <v>1890</v>
      </c>
      <c r="D369" s="75" t="s">
        <v>299</v>
      </c>
      <c r="E369" s="75" t="str">
        <f>"০১৭১৪৬০২৪০৮"</f>
        <v>০১৭১৪৬০২৪০৮</v>
      </c>
      <c r="F369" s="22" t="str">
        <f>"8119457817452"</f>
        <v>8119457817452</v>
      </c>
      <c r="G369" s="75" t="str">
        <f>"০০৪৬"</f>
        <v>০০৪৬</v>
      </c>
      <c r="H369" s="75" t="s">
        <v>319</v>
      </c>
      <c r="I369" s="75" t="s">
        <v>319</v>
      </c>
      <c r="J369" s="4"/>
    </row>
    <row r="370" spans="1:10" x14ac:dyDescent="0.25">
      <c r="A370" s="39">
        <v>369</v>
      </c>
      <c r="B370" s="3" t="s">
        <v>1891</v>
      </c>
      <c r="C370" s="75" t="s">
        <v>1892</v>
      </c>
      <c r="D370" s="75" t="s">
        <v>299</v>
      </c>
      <c r="E370" s="75" t="str">
        <f>"০১৭১৯৯৩২৯৭৩"</f>
        <v>০১৭১৯৯৩২৯৭৩</v>
      </c>
      <c r="F370" s="22" t="str">
        <f>"8119457813889"</f>
        <v>8119457813889</v>
      </c>
      <c r="G370" s="75" t="str">
        <f>"০০৪৫"</f>
        <v>০০৪৫</v>
      </c>
      <c r="H370" s="75" t="s">
        <v>326</v>
      </c>
      <c r="I370" s="75" t="s">
        <v>326</v>
      </c>
      <c r="J370" s="4"/>
    </row>
    <row r="371" spans="1:10" x14ac:dyDescent="0.25">
      <c r="A371" s="39">
        <v>370</v>
      </c>
      <c r="B371" s="3" t="s">
        <v>1893</v>
      </c>
      <c r="C371" s="75" t="s">
        <v>1614</v>
      </c>
      <c r="D371" s="75" t="s">
        <v>299</v>
      </c>
      <c r="E371" s="75" t="str">
        <f>"০১৮৬৭৯৯০৫৫৪"</f>
        <v>০১৮৬৭৯৯০৫৫৪</v>
      </c>
      <c r="F371" s="22" t="str">
        <f>"8119457817752"</f>
        <v>8119457817752</v>
      </c>
      <c r="G371" s="75" t="str">
        <f>"০০৪৪"</f>
        <v>০০৪৪</v>
      </c>
      <c r="H371" s="75" t="s">
        <v>327</v>
      </c>
      <c r="I371" s="75" t="s">
        <v>327</v>
      </c>
      <c r="J371" s="4"/>
    </row>
    <row r="372" spans="1:10" x14ac:dyDescent="0.25">
      <c r="A372" s="39">
        <v>371</v>
      </c>
      <c r="B372" s="3" t="s">
        <v>1894</v>
      </c>
      <c r="C372" s="75" t="s">
        <v>1895</v>
      </c>
      <c r="D372" s="75" t="s">
        <v>299</v>
      </c>
      <c r="E372" s="75" t="str">
        <f>"০১৭৩৫৮৫২৪৭৬"</f>
        <v>০১৭৩৫৮৫২৪৭৬</v>
      </c>
      <c r="F372" s="22" t="str">
        <f>"8119457817152"</f>
        <v>8119457817152</v>
      </c>
      <c r="G372" s="75" t="str">
        <f>"০০৪৩"</f>
        <v>০০৪৩</v>
      </c>
      <c r="H372" s="75" t="s">
        <v>328</v>
      </c>
      <c r="I372" s="75" t="s">
        <v>328</v>
      </c>
      <c r="J372" s="4"/>
    </row>
    <row r="373" spans="1:10" x14ac:dyDescent="0.25">
      <c r="A373" s="39">
        <v>372</v>
      </c>
      <c r="B373" s="3" t="s">
        <v>1823</v>
      </c>
      <c r="C373" s="75" t="s">
        <v>1887</v>
      </c>
      <c r="D373" s="75" t="s">
        <v>299</v>
      </c>
      <c r="E373" s="75" t="str">
        <f>"০১৭৫৮১৬৫১০৩"</f>
        <v>০১৭৫৮১৬৫১০৩</v>
      </c>
      <c r="F373" s="22" t="str">
        <f>"8119457810198"</f>
        <v>8119457810198</v>
      </c>
      <c r="G373" s="75" t="str">
        <f>"০০৫১"</f>
        <v>০০৫১</v>
      </c>
      <c r="H373" s="75" t="s">
        <v>329</v>
      </c>
      <c r="I373" s="75" t="s">
        <v>329</v>
      </c>
      <c r="J373" s="4"/>
    </row>
    <row r="374" spans="1:10" x14ac:dyDescent="0.25">
      <c r="A374" s="39">
        <v>373</v>
      </c>
      <c r="B374" s="3" t="s">
        <v>1579</v>
      </c>
      <c r="C374" s="75" t="s">
        <v>1896</v>
      </c>
      <c r="D374" s="75" t="s">
        <v>299</v>
      </c>
      <c r="E374" s="75" t="str">
        <f>"০১৭২৪৮৪০৫৩২"</f>
        <v>০১৭২৪৮৪০৫৩২</v>
      </c>
      <c r="F374" s="22" t="str">
        <f>"811945781716"</f>
        <v>811945781716</v>
      </c>
      <c r="G374" s="75" t="str">
        <f>"০০৫০"</f>
        <v>০০৫০</v>
      </c>
      <c r="H374" s="75" t="s">
        <v>330</v>
      </c>
      <c r="I374" s="75" t="s">
        <v>330</v>
      </c>
      <c r="J374" s="4"/>
    </row>
    <row r="375" spans="1:10" x14ac:dyDescent="0.25">
      <c r="A375" s="39">
        <v>374</v>
      </c>
      <c r="B375" s="3" t="s">
        <v>1897</v>
      </c>
      <c r="C375" s="75" t="s">
        <v>1898</v>
      </c>
      <c r="D375" s="75" t="s">
        <v>299</v>
      </c>
      <c r="E375" s="75" t="str">
        <f>"০১৭৩০১৯০৬১২"</f>
        <v>০১৭৩০১৯০৬১২</v>
      </c>
      <c r="F375" s="22" t="str">
        <f>"8119457817733"</f>
        <v>8119457817733</v>
      </c>
      <c r="G375" s="75" t="str">
        <f>"০০৬৫"</f>
        <v>০০৬৫</v>
      </c>
      <c r="H375" s="75" t="s">
        <v>319</v>
      </c>
      <c r="I375" s="75" t="s">
        <v>319</v>
      </c>
      <c r="J375" s="4"/>
    </row>
    <row r="376" spans="1:10" x14ac:dyDescent="0.25">
      <c r="A376" s="39">
        <v>375</v>
      </c>
      <c r="B376" s="3" t="s">
        <v>1899</v>
      </c>
      <c r="C376" s="75" t="s">
        <v>1900</v>
      </c>
      <c r="D376" s="75" t="s">
        <v>299</v>
      </c>
      <c r="E376" s="75" t="str">
        <f>"০"</f>
        <v>০</v>
      </c>
      <c r="F376" s="22" t="str">
        <f>"8119457813612"</f>
        <v>8119457813612</v>
      </c>
      <c r="G376" s="75" t="str">
        <f>"০০৬৪"</f>
        <v>০০৬৪</v>
      </c>
      <c r="H376" s="75" t="s">
        <v>317</v>
      </c>
      <c r="I376" s="75" t="s">
        <v>317</v>
      </c>
      <c r="J376" s="4"/>
    </row>
    <row r="377" spans="1:10" x14ac:dyDescent="0.25">
      <c r="A377" s="39">
        <v>376</v>
      </c>
      <c r="B377" s="3" t="s">
        <v>1901</v>
      </c>
      <c r="C377" s="75" t="s">
        <v>1902</v>
      </c>
      <c r="D377" s="75" t="s">
        <v>299</v>
      </c>
      <c r="E377" s="75" t="str">
        <f>"০১৭৩৬৩৬২৫৫৪"</f>
        <v>০১৭৩৬৩৬২৫৫৪</v>
      </c>
      <c r="F377" s="22" t="str">
        <f>"8119457814885"</f>
        <v>8119457814885</v>
      </c>
      <c r="G377" s="75" t="str">
        <f>"০০৬৩"</f>
        <v>০০৬৩</v>
      </c>
      <c r="H377" s="75" t="s">
        <v>323</v>
      </c>
      <c r="I377" s="75" t="s">
        <v>323</v>
      </c>
      <c r="J377" s="4"/>
    </row>
    <row r="378" spans="1:10" x14ac:dyDescent="0.25">
      <c r="A378" s="39">
        <v>377</v>
      </c>
      <c r="B378" s="3" t="s">
        <v>1903</v>
      </c>
      <c r="C378" s="75" t="s">
        <v>1904</v>
      </c>
      <c r="D378" s="75" t="s">
        <v>299</v>
      </c>
      <c r="E378" s="75" t="str">
        <f>"০১৭৩৮৫৯০০১৬"</f>
        <v>০১৭৩৮৫৯০০১৬</v>
      </c>
      <c r="F378" s="22" t="str">
        <f>"8119457817793"</f>
        <v>8119457817793</v>
      </c>
      <c r="G378" s="75" t="str">
        <f>"০০৬২"</f>
        <v>০০৬২</v>
      </c>
      <c r="H378" s="75" t="s">
        <v>326</v>
      </c>
      <c r="I378" s="75" t="s">
        <v>326</v>
      </c>
      <c r="J378" s="4"/>
    </row>
    <row r="379" spans="1:10" x14ac:dyDescent="0.25">
      <c r="A379" s="39">
        <v>378</v>
      </c>
      <c r="B379" s="3" t="s">
        <v>1905</v>
      </c>
      <c r="C379" s="75" t="s">
        <v>1906</v>
      </c>
      <c r="D379" s="75" t="s">
        <v>299</v>
      </c>
      <c r="E379" s="75" t="str">
        <f>"০১৭৫৮২১৪৫৮৯"</f>
        <v>০১৭৫৮২১৪৫৮৯</v>
      </c>
      <c r="F379" s="22" t="str">
        <f>"8119457817802"</f>
        <v>8119457817802</v>
      </c>
      <c r="G379" s="75" t="str">
        <f>"০০৬১"</f>
        <v>০০৬১</v>
      </c>
      <c r="H379" s="75" t="s">
        <v>331</v>
      </c>
      <c r="I379" s="75" t="s">
        <v>331</v>
      </c>
      <c r="J379" s="4"/>
    </row>
    <row r="380" spans="1:10" x14ac:dyDescent="0.25">
      <c r="A380" s="39">
        <v>379</v>
      </c>
      <c r="B380" s="3" t="s">
        <v>1907</v>
      </c>
      <c r="C380" s="75" t="s">
        <v>1908</v>
      </c>
      <c r="D380" s="75" t="s">
        <v>299</v>
      </c>
      <c r="E380" s="75" t="str">
        <f>"০১৭২৪৪০২৪২৬"</f>
        <v>০১৭২৪৪০২৪২৬</v>
      </c>
      <c r="F380" s="22" t="str">
        <f>"8119457817755"</f>
        <v>8119457817755</v>
      </c>
      <c r="G380" s="75" t="str">
        <f>"০০৬০"</f>
        <v>০০৬০</v>
      </c>
      <c r="H380" s="75" t="s">
        <v>329</v>
      </c>
      <c r="I380" s="75" t="s">
        <v>329</v>
      </c>
      <c r="J380" s="4"/>
    </row>
    <row r="381" spans="1:10" x14ac:dyDescent="0.25">
      <c r="A381" s="39">
        <v>380</v>
      </c>
      <c r="B381" s="3" t="s">
        <v>1909</v>
      </c>
      <c r="C381" s="75" t="s">
        <v>1910</v>
      </c>
      <c r="D381" s="75" t="s">
        <v>299</v>
      </c>
      <c r="E381" s="75" t="str">
        <f>"০১৭৪৯০১৮৪২৪"</f>
        <v>০১৭৪৯০১৮৪২৪</v>
      </c>
      <c r="F381" s="22" t="str">
        <f>"8119457817693"</f>
        <v>8119457817693</v>
      </c>
      <c r="G381" s="75" t="str">
        <f>"০০৫৯"</f>
        <v>০০৫৯</v>
      </c>
      <c r="H381" s="75" t="s">
        <v>332</v>
      </c>
      <c r="I381" s="75" t="s">
        <v>332</v>
      </c>
      <c r="J381" s="4"/>
    </row>
    <row r="382" spans="1:10" x14ac:dyDescent="0.25">
      <c r="A382" s="39">
        <v>381</v>
      </c>
      <c r="B382" s="3" t="s">
        <v>1911</v>
      </c>
      <c r="C382" s="75" t="s">
        <v>1912</v>
      </c>
      <c r="D382" s="75" t="s">
        <v>299</v>
      </c>
      <c r="E382" s="75" t="str">
        <f>"০"</f>
        <v>০</v>
      </c>
      <c r="F382" s="22" t="str">
        <f>"8119457814908"</f>
        <v>8119457814908</v>
      </c>
      <c r="G382" s="75" t="str">
        <f>"০০৫৮"</f>
        <v>০০৫৮</v>
      </c>
      <c r="H382" s="75" t="s">
        <v>316</v>
      </c>
      <c r="I382" s="75" t="s">
        <v>316</v>
      </c>
      <c r="J382" s="4"/>
    </row>
    <row r="383" spans="1:10" x14ac:dyDescent="0.25">
      <c r="A383" s="39">
        <v>382</v>
      </c>
      <c r="B383" s="3" t="s">
        <v>1913</v>
      </c>
      <c r="C383" s="75" t="s">
        <v>1914</v>
      </c>
      <c r="D383" s="75" t="s">
        <v>299</v>
      </c>
      <c r="E383" s="75" t="str">
        <f>"০১৭৯২৮০৮৬৪২"</f>
        <v>০১৭৯২৮০৮৬৪২</v>
      </c>
      <c r="F383" s="22" t="str">
        <f>"8119457817686"</f>
        <v>8119457817686</v>
      </c>
      <c r="G383" s="75" t="str">
        <f>"০০৫৭"</f>
        <v>০০৫৭</v>
      </c>
      <c r="H383" s="75" t="s">
        <v>330</v>
      </c>
      <c r="I383" s="75" t="s">
        <v>330</v>
      </c>
      <c r="J383" s="4"/>
    </row>
    <row r="384" spans="1:10" x14ac:dyDescent="0.25">
      <c r="A384" s="39">
        <v>383</v>
      </c>
      <c r="B384" s="3" t="s">
        <v>1915</v>
      </c>
      <c r="C384" s="75" t="s">
        <v>1916</v>
      </c>
      <c r="D384" s="75" t="s">
        <v>299</v>
      </c>
      <c r="E384" s="75" t="str">
        <f>"০১৭২৯৫৪৭৩৩১"</f>
        <v>০১৭২৯৫৪৭৩৩১</v>
      </c>
      <c r="F384" s="22" t="str">
        <f>"8119457817633"</f>
        <v>8119457817633</v>
      </c>
      <c r="G384" s="75" t="str">
        <f>"০০৫৬"</f>
        <v>০০৫৬</v>
      </c>
      <c r="H384" s="75" t="s">
        <v>333</v>
      </c>
      <c r="I384" s="75" t="s">
        <v>333</v>
      </c>
      <c r="J384" s="4"/>
    </row>
    <row r="385" spans="1:10" x14ac:dyDescent="0.25">
      <c r="A385" s="39">
        <v>384</v>
      </c>
      <c r="B385" s="3" t="s">
        <v>1917</v>
      </c>
      <c r="C385" s="75" t="s">
        <v>1918</v>
      </c>
      <c r="D385" s="75" t="s">
        <v>299</v>
      </c>
      <c r="E385" s="75" t="str">
        <f>"০১৭৫৭৯২৫২৩৬"</f>
        <v>০১৭৫৭৯২৫২৩৬</v>
      </c>
      <c r="F385" s="22" t="str">
        <f>"8119457814894"</f>
        <v>8119457814894</v>
      </c>
      <c r="G385" s="75" t="str">
        <f>"০০৫৫"</f>
        <v>০০৫৫</v>
      </c>
      <c r="H385" s="75" t="s">
        <v>319</v>
      </c>
      <c r="I385" s="75" t="s">
        <v>319</v>
      </c>
      <c r="J385" s="4"/>
    </row>
    <row r="386" spans="1:10" x14ac:dyDescent="0.25">
      <c r="A386" s="39">
        <v>385</v>
      </c>
      <c r="B386" s="3" t="s">
        <v>1919</v>
      </c>
      <c r="C386" s="75" t="s">
        <v>1920</v>
      </c>
      <c r="D386" s="75" t="s">
        <v>299</v>
      </c>
      <c r="E386" s="75" t="str">
        <f>"০১৭৬২৯২৩৮৯১"</f>
        <v>০১৭৬২৯২৩৮৯১</v>
      </c>
      <c r="F386" s="22" t="str">
        <f>"8119457817719"</f>
        <v>8119457817719</v>
      </c>
      <c r="G386" s="75" t="str">
        <f>"০০৫৪"</f>
        <v>০০৫৪</v>
      </c>
      <c r="H386" s="75" t="s">
        <v>322</v>
      </c>
      <c r="I386" s="75" t="s">
        <v>322</v>
      </c>
      <c r="J386" s="4"/>
    </row>
    <row r="387" spans="1:10" x14ac:dyDescent="0.25">
      <c r="A387" s="39">
        <v>386</v>
      </c>
      <c r="B387" s="3" t="s">
        <v>1921</v>
      </c>
      <c r="C387" s="75" t="s">
        <v>1922</v>
      </c>
      <c r="D387" s="75" t="s">
        <v>299</v>
      </c>
      <c r="E387" s="75" t="str">
        <f>"০১৭৬৫৯১৭৫০০"</f>
        <v>০১৭৬৫৯১৭৫০০</v>
      </c>
      <c r="F387" s="22" t="str">
        <f>"8119457817781"</f>
        <v>8119457817781</v>
      </c>
      <c r="G387" s="75" t="str">
        <f>"০০৬৮"</f>
        <v>০০৬৮</v>
      </c>
      <c r="H387" s="75" t="s">
        <v>319</v>
      </c>
      <c r="I387" s="75" t="s">
        <v>319</v>
      </c>
      <c r="J387" s="4"/>
    </row>
    <row r="388" spans="1:10" x14ac:dyDescent="0.25">
      <c r="A388" s="39">
        <v>387</v>
      </c>
      <c r="B388" s="3" t="s">
        <v>1923</v>
      </c>
      <c r="C388" s="75" t="s">
        <v>1924</v>
      </c>
      <c r="D388" s="75" t="s">
        <v>299</v>
      </c>
      <c r="E388" s="75" t="str">
        <f>"০১৭২৫৪৮৩৯৩১"</f>
        <v>০১৭২৫৪৮৩৯৩১</v>
      </c>
      <c r="F388" s="22" t="str">
        <f>"8119457813884"</f>
        <v>8119457813884</v>
      </c>
      <c r="G388" s="75" t="str">
        <f>"০০৬৭"</f>
        <v>০০৬৭</v>
      </c>
      <c r="H388" s="75" t="s">
        <v>315</v>
      </c>
      <c r="I388" s="75" t="s">
        <v>315</v>
      </c>
      <c r="J388" s="4"/>
    </row>
    <row r="389" spans="1:10" x14ac:dyDescent="0.25">
      <c r="A389" s="39">
        <v>388</v>
      </c>
      <c r="B389" s="3" t="s">
        <v>1579</v>
      </c>
      <c r="C389" s="75" t="s">
        <v>1925</v>
      </c>
      <c r="D389" s="75" t="s">
        <v>299</v>
      </c>
      <c r="E389" s="75" t="str">
        <f>"০১৭২৬৩১৪৫৩৫"</f>
        <v>০১৭২৬৩১৪৫৩৫</v>
      </c>
      <c r="F389" s="22" t="str">
        <f>"8119457817636"</f>
        <v>8119457817636</v>
      </c>
      <c r="G389" s="75" t="str">
        <f>"০০৬৬"</f>
        <v>০০৬৬</v>
      </c>
      <c r="H389" s="75" t="s">
        <v>316</v>
      </c>
      <c r="I389" s="75" t="s">
        <v>316</v>
      </c>
      <c r="J389" s="4"/>
    </row>
    <row r="390" spans="1:10" x14ac:dyDescent="0.25">
      <c r="A390" s="39">
        <v>389</v>
      </c>
      <c r="B390" s="3" t="s">
        <v>1926</v>
      </c>
      <c r="C390" s="75" t="s">
        <v>1927</v>
      </c>
      <c r="D390" s="75" t="s">
        <v>300</v>
      </c>
      <c r="E390" s="75" t="str">
        <f>"০১৭৯৩৫৪২৩১০"</f>
        <v>০১৭৯৩৫৪২৩১০</v>
      </c>
      <c r="F390" s="22" t="str">
        <f>"8119457815788"</f>
        <v>8119457815788</v>
      </c>
      <c r="G390" s="75" t="str">
        <f>"০৫২৩"</f>
        <v>০৫২৩</v>
      </c>
      <c r="H390" s="75" t="s">
        <v>317</v>
      </c>
      <c r="I390" s="75" t="s">
        <v>317</v>
      </c>
      <c r="J390" s="4"/>
    </row>
    <row r="391" spans="1:10" x14ac:dyDescent="0.25">
      <c r="A391" s="39">
        <v>390</v>
      </c>
      <c r="B391" s="3" t="s">
        <v>1928</v>
      </c>
      <c r="C391" s="75" t="s">
        <v>1929</v>
      </c>
      <c r="D391" s="75" t="s">
        <v>301</v>
      </c>
      <c r="E391" s="75" t="str">
        <f>"০১৭১৪৮৬৫০৫৪"</f>
        <v>০১৭১৪৮৬৫০৫৪</v>
      </c>
      <c r="F391" s="22" t="str">
        <f>"8119457815165"</f>
        <v>8119457815165</v>
      </c>
      <c r="G391" s="75" t="str">
        <f>"০৫২২"</f>
        <v>০৫২২</v>
      </c>
      <c r="H391" s="75" t="s">
        <v>318</v>
      </c>
      <c r="I391" s="75" t="s">
        <v>318</v>
      </c>
      <c r="J391" s="4"/>
    </row>
    <row r="392" spans="1:10" x14ac:dyDescent="0.25">
      <c r="A392" s="39">
        <v>391</v>
      </c>
      <c r="B392" s="3" t="s">
        <v>1930</v>
      </c>
      <c r="C392" s="75" t="s">
        <v>1929</v>
      </c>
      <c r="D392" s="75" t="s">
        <v>301</v>
      </c>
      <c r="E392" s="75" t="str">
        <f>"০১৭২৩০৮৪৫৭৮"</f>
        <v>০১৭২৩০৮৪৫৭৮</v>
      </c>
      <c r="F392" s="22" t="str">
        <f>"8119457815171"</f>
        <v>8119457815171</v>
      </c>
      <c r="G392" s="75" t="str">
        <f>"০৫২১"</f>
        <v>০৫২১</v>
      </c>
      <c r="H392" s="75" t="s">
        <v>319</v>
      </c>
      <c r="I392" s="75" t="s">
        <v>319</v>
      </c>
      <c r="J392" s="4"/>
    </row>
    <row r="393" spans="1:10" x14ac:dyDescent="0.25">
      <c r="A393" s="39">
        <v>392</v>
      </c>
      <c r="B393" s="3" t="s">
        <v>1555</v>
      </c>
      <c r="C393" s="75" t="s">
        <v>1931</v>
      </c>
      <c r="D393" s="75" t="s">
        <v>300</v>
      </c>
      <c r="E393" s="75" t="str">
        <f>"০১৭৩৬৪১০৭১৫"</f>
        <v>০১৭৩৬৪১০৭১৫</v>
      </c>
      <c r="F393" s="22" t="str">
        <f>"8119457816215"</f>
        <v>8119457816215</v>
      </c>
      <c r="G393" s="75" t="str">
        <f>"০৫২০"</f>
        <v>০৫২০</v>
      </c>
      <c r="H393" s="75" t="s">
        <v>320</v>
      </c>
      <c r="I393" s="75" t="s">
        <v>320</v>
      </c>
      <c r="J393" s="4"/>
    </row>
    <row r="394" spans="1:10" x14ac:dyDescent="0.25">
      <c r="A394" s="39">
        <v>393</v>
      </c>
      <c r="B394" s="3" t="s">
        <v>1932</v>
      </c>
      <c r="C394" s="75" t="s">
        <v>1933</v>
      </c>
      <c r="D394" s="75" t="s">
        <v>301</v>
      </c>
      <c r="E394" s="75" t="str">
        <f>"০"</f>
        <v>০</v>
      </c>
      <c r="F394" s="22" t="str">
        <f>"8119457816496"</f>
        <v>8119457816496</v>
      </c>
      <c r="G394" s="75" t="str">
        <f>"০৫১৯"</f>
        <v>০৫১৯</v>
      </c>
      <c r="H394" s="75" t="s">
        <v>315</v>
      </c>
      <c r="I394" s="75" t="s">
        <v>315</v>
      </c>
      <c r="J394" s="4"/>
    </row>
    <row r="395" spans="1:10" x14ac:dyDescent="0.25">
      <c r="A395" s="39">
        <v>394</v>
      </c>
      <c r="B395" s="3" t="s">
        <v>1934</v>
      </c>
      <c r="C395" s="75" t="s">
        <v>1785</v>
      </c>
      <c r="D395" s="75" t="s">
        <v>301</v>
      </c>
      <c r="E395" s="75" t="str">
        <f>"০"</f>
        <v>০</v>
      </c>
      <c r="F395" s="22" t="str">
        <f>"8119457815550"</f>
        <v>8119457815550</v>
      </c>
      <c r="G395" s="75" t="str">
        <f>"০৫১৮"</f>
        <v>০৫১৮</v>
      </c>
      <c r="H395" s="75" t="s">
        <v>313</v>
      </c>
      <c r="I395" s="75" t="s">
        <v>313</v>
      </c>
      <c r="J395" s="4"/>
    </row>
    <row r="396" spans="1:10" x14ac:dyDescent="0.25">
      <c r="A396" s="39">
        <v>395</v>
      </c>
      <c r="B396" s="3" t="s">
        <v>1935</v>
      </c>
      <c r="C396" s="75" t="s">
        <v>1936</v>
      </c>
      <c r="D396" s="75" t="s">
        <v>300</v>
      </c>
      <c r="E396" s="75" t="str">
        <f>"০"</f>
        <v>০</v>
      </c>
      <c r="F396" s="22" t="str">
        <f>"8119457815933"</f>
        <v>8119457815933</v>
      </c>
      <c r="G396" s="75" t="str">
        <f>"০৫১৭"</f>
        <v>০৫১৭</v>
      </c>
      <c r="H396" s="75" t="s">
        <v>314</v>
      </c>
      <c r="I396" s="75" t="s">
        <v>314</v>
      </c>
      <c r="J396" s="4"/>
    </row>
    <row r="397" spans="1:10" x14ac:dyDescent="0.25">
      <c r="A397" s="39">
        <v>396</v>
      </c>
      <c r="B397" s="3" t="s">
        <v>1937</v>
      </c>
      <c r="C397" s="75" t="s">
        <v>1938</v>
      </c>
      <c r="D397" s="75" t="s">
        <v>300</v>
      </c>
      <c r="E397" s="75" t="str">
        <f>"০১৭৫০২৯৪২৯৫"</f>
        <v>০১৭৫০২৯৪২৯৫</v>
      </c>
      <c r="F397" s="22" t="str">
        <f>"8119457816098"</f>
        <v>8119457816098</v>
      </c>
      <c r="G397" s="75" t="str">
        <f>"০৫১৬"</f>
        <v>০৫১৬</v>
      </c>
      <c r="H397" s="75" t="s">
        <v>321</v>
      </c>
      <c r="I397" s="75" t="s">
        <v>321</v>
      </c>
      <c r="J397" s="4"/>
    </row>
    <row r="398" spans="1:10" x14ac:dyDescent="0.25">
      <c r="A398" s="39">
        <v>397</v>
      </c>
      <c r="B398" s="3" t="s">
        <v>1939</v>
      </c>
      <c r="C398" s="75" t="s">
        <v>1940</v>
      </c>
      <c r="D398" s="75" t="s">
        <v>300</v>
      </c>
      <c r="E398" s="75" t="str">
        <f>"০১৯৩৮৭৬১১৮০"</f>
        <v>০১৯৩৮৭৬১১৮০</v>
      </c>
      <c r="F398" s="22" t="str">
        <f>"8119457815958"</f>
        <v>8119457815958</v>
      </c>
      <c r="G398" s="75" t="str">
        <f>"০৫১৫"</f>
        <v>০৫১৫</v>
      </c>
      <c r="H398" s="75" t="s">
        <v>322</v>
      </c>
      <c r="I398" s="75" t="s">
        <v>322</v>
      </c>
      <c r="J398" s="4"/>
    </row>
    <row r="399" spans="1:10" x14ac:dyDescent="0.25">
      <c r="A399" s="39">
        <v>398</v>
      </c>
      <c r="B399" s="3" t="s">
        <v>1941</v>
      </c>
      <c r="C399" s="75" t="s">
        <v>1942</v>
      </c>
      <c r="D399" s="75" t="s">
        <v>300</v>
      </c>
      <c r="E399" s="75" t="str">
        <f>"০১৭৮৭১৬৮২৯১"</f>
        <v>০১৭৮৭১৬৮২৯১</v>
      </c>
      <c r="F399" s="22" t="str">
        <f>"8119457815793"</f>
        <v>8119457815793</v>
      </c>
      <c r="G399" s="75" t="str">
        <f>"০৫১৪"</f>
        <v>০৫১৪</v>
      </c>
      <c r="H399" s="75" t="s">
        <v>314</v>
      </c>
      <c r="I399" s="75" t="s">
        <v>314</v>
      </c>
      <c r="J399" s="4"/>
    </row>
    <row r="400" spans="1:10" x14ac:dyDescent="0.25">
      <c r="A400" s="39">
        <v>399</v>
      </c>
      <c r="B400" s="3" t="s">
        <v>1943</v>
      </c>
      <c r="C400" s="75" t="s">
        <v>1944</v>
      </c>
      <c r="D400" s="75" t="s">
        <v>301</v>
      </c>
      <c r="E400" s="75" t="str">
        <f>"০১৭৮৬৮৭১৫৭৭"</f>
        <v>০১৭৮৬৮৭১৫৭৭</v>
      </c>
      <c r="F400" s="22" t="str">
        <f>"8119457815095"</f>
        <v>8119457815095</v>
      </c>
      <c r="G400" s="75" t="str">
        <f>"০৫৬৬"</f>
        <v>০৫৬৬</v>
      </c>
      <c r="H400" s="75" t="s">
        <v>323</v>
      </c>
      <c r="I400" s="75" t="s">
        <v>323</v>
      </c>
      <c r="J400" s="4"/>
    </row>
    <row r="401" spans="1:10" x14ac:dyDescent="0.25">
      <c r="A401" s="39">
        <v>400</v>
      </c>
      <c r="B401" s="3" t="s">
        <v>1773</v>
      </c>
      <c r="C401" s="75" t="s">
        <v>1945</v>
      </c>
      <c r="D401" s="75" t="s">
        <v>300</v>
      </c>
      <c r="E401" s="75" t="str">
        <f>"০১৭৬৭২৪৫৫৮২"</f>
        <v>০১৭৬৭২৪৫৫৮২</v>
      </c>
      <c r="F401" s="22" t="str">
        <f>"8119457816198"</f>
        <v>8119457816198</v>
      </c>
      <c r="G401" s="75" t="str">
        <f>"০৫৬৫"</f>
        <v>০৫৬৫</v>
      </c>
      <c r="H401" s="75" t="s">
        <v>324</v>
      </c>
      <c r="I401" s="75" t="s">
        <v>324</v>
      </c>
      <c r="J401" s="4"/>
    </row>
    <row r="402" spans="1:10" x14ac:dyDescent="0.25">
      <c r="A402" s="39">
        <v>401</v>
      </c>
      <c r="B402" s="3" t="s">
        <v>1946</v>
      </c>
      <c r="C402" s="75" t="s">
        <v>1947</v>
      </c>
      <c r="D402" s="75" t="s">
        <v>300</v>
      </c>
      <c r="E402" s="75" t="str">
        <f>"০"</f>
        <v>০</v>
      </c>
      <c r="F402" s="22" t="str">
        <f>"8119457816797"</f>
        <v>8119457816797</v>
      </c>
      <c r="G402" s="75" t="str">
        <f>"০৫৬৪"</f>
        <v>০৫৬৪</v>
      </c>
      <c r="H402" s="75" t="s">
        <v>325</v>
      </c>
      <c r="I402" s="75" t="s">
        <v>325</v>
      </c>
      <c r="J402" s="4"/>
    </row>
    <row r="403" spans="1:10" x14ac:dyDescent="0.25">
      <c r="A403" s="39">
        <v>402</v>
      </c>
      <c r="B403" s="3" t="s">
        <v>1948</v>
      </c>
      <c r="C403" s="75" t="s">
        <v>1949</v>
      </c>
      <c r="D403" s="75" t="s">
        <v>301</v>
      </c>
      <c r="E403" s="75" t="str">
        <f>"০"</f>
        <v>০</v>
      </c>
      <c r="F403" s="22" t="str">
        <f>"8119457815265"</f>
        <v>8119457815265</v>
      </c>
      <c r="G403" s="75" t="str">
        <f>"০৫৬৩"</f>
        <v>০৫৬৩</v>
      </c>
      <c r="H403" s="75" t="s">
        <v>319</v>
      </c>
      <c r="I403" s="75" t="s">
        <v>319</v>
      </c>
      <c r="J403" s="4"/>
    </row>
    <row r="404" spans="1:10" x14ac:dyDescent="0.25">
      <c r="A404" s="39">
        <v>403</v>
      </c>
      <c r="B404" s="3" t="s">
        <v>1950</v>
      </c>
      <c r="C404" s="75" t="s">
        <v>1951</v>
      </c>
      <c r="D404" s="75" t="s">
        <v>301</v>
      </c>
      <c r="E404" s="75" t="str">
        <f>"০১৮৬৬৮৮৬৭৯৬"</f>
        <v>০১৮৬৬৮৮৬৭৯৬</v>
      </c>
      <c r="F404" s="22" t="str">
        <f>"8119457815389"</f>
        <v>8119457815389</v>
      </c>
      <c r="G404" s="75" t="str">
        <f>"০৫৬২"</f>
        <v>০৫৬২</v>
      </c>
      <c r="H404" s="75" t="s">
        <v>326</v>
      </c>
      <c r="I404" s="75" t="s">
        <v>326</v>
      </c>
      <c r="J404" s="4"/>
    </row>
    <row r="405" spans="1:10" x14ac:dyDescent="0.25">
      <c r="A405" s="39">
        <v>404</v>
      </c>
      <c r="B405" s="3" t="s">
        <v>1952</v>
      </c>
      <c r="C405" s="75" t="s">
        <v>1953</v>
      </c>
      <c r="D405" s="75" t="s">
        <v>301</v>
      </c>
      <c r="E405" s="75" t="str">
        <f>"০"</f>
        <v>০</v>
      </c>
      <c r="F405" s="22" t="str">
        <f>"8119457815349"</f>
        <v>8119457815349</v>
      </c>
      <c r="G405" s="75" t="str">
        <f>"০৫৬১"</f>
        <v>০৫৬১</v>
      </c>
      <c r="H405" s="75" t="s">
        <v>327</v>
      </c>
      <c r="I405" s="75" t="s">
        <v>327</v>
      </c>
      <c r="J405" s="4"/>
    </row>
    <row r="406" spans="1:10" x14ac:dyDescent="0.25">
      <c r="A406" s="39">
        <v>405</v>
      </c>
      <c r="B406" s="3" t="s">
        <v>1933</v>
      </c>
      <c r="C406" s="75" t="s">
        <v>1954</v>
      </c>
      <c r="D406" s="75" t="s">
        <v>301</v>
      </c>
      <c r="E406" s="75" t="str">
        <f>"০"</f>
        <v>০</v>
      </c>
      <c r="F406" s="22" t="str">
        <f>"8119457815057"</f>
        <v>8119457815057</v>
      </c>
      <c r="G406" s="75" t="str">
        <f>"০৫৬০"</f>
        <v>০৫৬০</v>
      </c>
      <c r="H406" s="75" t="s">
        <v>328</v>
      </c>
      <c r="I406" s="75" t="s">
        <v>328</v>
      </c>
      <c r="J406" s="4"/>
    </row>
    <row r="407" spans="1:10" x14ac:dyDescent="0.25">
      <c r="A407" s="39">
        <v>406</v>
      </c>
      <c r="B407" s="3" t="s">
        <v>1955</v>
      </c>
      <c r="C407" s="75" t="s">
        <v>1956</v>
      </c>
      <c r="D407" s="75" t="s">
        <v>302</v>
      </c>
      <c r="E407" s="75" t="str">
        <f>"০"</f>
        <v>০</v>
      </c>
      <c r="F407" s="22" t="str">
        <f>"8119457816383"</f>
        <v>8119457816383</v>
      </c>
      <c r="G407" s="75" t="str">
        <f>"০৫৫৯"</f>
        <v>০৫৫৯</v>
      </c>
      <c r="H407" s="75" t="s">
        <v>329</v>
      </c>
      <c r="I407" s="75" t="s">
        <v>329</v>
      </c>
      <c r="J407" s="4"/>
    </row>
    <row r="408" spans="1:10" x14ac:dyDescent="0.25">
      <c r="A408" s="39">
        <v>407</v>
      </c>
      <c r="B408" s="3" t="s">
        <v>1957</v>
      </c>
      <c r="C408" s="75" t="s">
        <v>1958</v>
      </c>
      <c r="D408" s="75" t="s">
        <v>300</v>
      </c>
      <c r="E408" s="75" t="str">
        <f>"০"</f>
        <v>০</v>
      </c>
      <c r="F408" s="22" t="str">
        <f>"8119457816004"</f>
        <v>8119457816004</v>
      </c>
      <c r="G408" s="75" t="str">
        <f>"০৫৫৮"</f>
        <v>০৫৫৮</v>
      </c>
      <c r="H408" s="75" t="s">
        <v>330</v>
      </c>
      <c r="I408" s="75" t="s">
        <v>330</v>
      </c>
      <c r="J408" s="4"/>
    </row>
    <row r="409" spans="1:10" x14ac:dyDescent="0.25">
      <c r="A409" s="39">
        <v>408</v>
      </c>
      <c r="B409" s="3" t="s">
        <v>1959</v>
      </c>
      <c r="C409" s="75" t="s">
        <v>1960</v>
      </c>
      <c r="D409" s="75" t="s">
        <v>301</v>
      </c>
      <c r="E409" s="75" t="str">
        <f>"০"</f>
        <v>০</v>
      </c>
      <c r="F409" s="22" t="str">
        <f>"8119457815408"</f>
        <v>8119457815408</v>
      </c>
      <c r="G409" s="75" t="str">
        <f>"০৫৫৭"</f>
        <v>০৫৫৭</v>
      </c>
      <c r="H409" s="75" t="s">
        <v>319</v>
      </c>
      <c r="I409" s="75" t="s">
        <v>319</v>
      </c>
      <c r="J409" s="4"/>
    </row>
    <row r="410" spans="1:10" x14ac:dyDescent="0.25">
      <c r="A410" s="39">
        <v>409</v>
      </c>
      <c r="B410" s="3" t="s">
        <v>1961</v>
      </c>
      <c r="C410" s="75" t="s">
        <v>1962</v>
      </c>
      <c r="D410" s="75" t="s">
        <v>301</v>
      </c>
      <c r="E410" s="75" t="str">
        <f>"০১৭২৮৯৩৫৯৭৩"</f>
        <v>০১৭২৮৯৩৫৯৭৩</v>
      </c>
      <c r="F410" s="22" t="str">
        <f>"8119457815743"</f>
        <v>8119457815743</v>
      </c>
      <c r="G410" s="75" t="str">
        <f>"০৫৫৬"</f>
        <v>০৫৫৬</v>
      </c>
      <c r="H410" s="75" t="s">
        <v>317</v>
      </c>
      <c r="I410" s="75" t="s">
        <v>317</v>
      </c>
      <c r="J410" s="4"/>
    </row>
    <row r="411" spans="1:10" x14ac:dyDescent="0.25">
      <c r="A411" s="39">
        <v>410</v>
      </c>
      <c r="B411" s="3" t="s">
        <v>1963</v>
      </c>
      <c r="C411" s="75" t="s">
        <v>1964</v>
      </c>
      <c r="D411" s="75" t="s">
        <v>299</v>
      </c>
      <c r="E411" s="75" t="str">
        <f>"০১৭২৯৩৮৯৩২৭"</f>
        <v>০১৭২৯৩৮৯৩২৭</v>
      </c>
      <c r="F411" s="22" t="str">
        <f>"8119457817488"</f>
        <v>8119457817488</v>
      </c>
      <c r="G411" s="75" t="str">
        <f>"০০৭১"</f>
        <v>০০৭১</v>
      </c>
      <c r="H411" s="75" t="s">
        <v>323</v>
      </c>
      <c r="I411" s="75" t="s">
        <v>323</v>
      </c>
      <c r="J411" s="4"/>
    </row>
    <row r="412" spans="1:10" x14ac:dyDescent="0.25">
      <c r="A412" s="39">
        <v>411</v>
      </c>
      <c r="B412" s="3" t="s">
        <v>1965</v>
      </c>
      <c r="C412" s="75" t="s">
        <v>1966</v>
      </c>
      <c r="D412" s="75" t="s">
        <v>299</v>
      </c>
      <c r="E412" s="75" t="str">
        <f>"০১৭৪৩৯৭৫০৩৬"</f>
        <v>০১৭৪৩৯৭৫০৩৬</v>
      </c>
      <c r="F412" s="22" t="str">
        <f>"8119457817639"</f>
        <v>8119457817639</v>
      </c>
      <c r="G412" s="75" t="str">
        <f>"০০৭০"</f>
        <v>০০৭০</v>
      </c>
      <c r="H412" s="75" t="s">
        <v>326</v>
      </c>
      <c r="I412" s="75" t="s">
        <v>326</v>
      </c>
      <c r="J412" s="4"/>
    </row>
    <row r="413" spans="1:10" x14ac:dyDescent="0.25">
      <c r="A413" s="39">
        <v>412</v>
      </c>
      <c r="B413" s="3" t="s">
        <v>1739</v>
      </c>
      <c r="C413" s="75" t="s">
        <v>1967</v>
      </c>
      <c r="D413" s="75" t="s">
        <v>299</v>
      </c>
      <c r="E413" s="75" t="str">
        <f>"০১৭৬১৩২৬৭৩৮"</f>
        <v>০১৭৬১৩২৬৭৩৮</v>
      </c>
      <c r="F413" s="22" t="str">
        <f>"8119457817164"</f>
        <v>8119457817164</v>
      </c>
      <c r="G413" s="75" t="str">
        <f>"০০৭৮"</f>
        <v>০০৭৮</v>
      </c>
      <c r="H413" s="75" t="s">
        <v>331</v>
      </c>
      <c r="I413" s="75" t="s">
        <v>331</v>
      </c>
      <c r="J413" s="4"/>
    </row>
    <row r="414" spans="1:10" x14ac:dyDescent="0.25">
      <c r="A414" s="39">
        <v>413</v>
      </c>
      <c r="B414" s="3" t="s">
        <v>1628</v>
      </c>
      <c r="C414" s="75" t="s">
        <v>1696</v>
      </c>
      <c r="D414" s="75" t="s">
        <v>299</v>
      </c>
      <c r="E414" s="75" t="str">
        <f>"০১৭৭০৬৫২১৪৮"</f>
        <v>০১৭৭০৬৫২১৪৮</v>
      </c>
      <c r="F414" s="22" t="str">
        <f>"8119457817630"</f>
        <v>8119457817630</v>
      </c>
      <c r="G414" s="75" t="str">
        <f>"০০৭৭"</f>
        <v>০০৭৭</v>
      </c>
      <c r="H414" s="75" t="s">
        <v>329</v>
      </c>
      <c r="I414" s="75" t="s">
        <v>329</v>
      </c>
      <c r="J414" s="4"/>
    </row>
    <row r="415" spans="1:10" x14ac:dyDescent="0.25">
      <c r="A415" s="39">
        <v>414</v>
      </c>
      <c r="B415" s="3" t="s">
        <v>1770</v>
      </c>
      <c r="C415" s="75" t="s">
        <v>1888</v>
      </c>
      <c r="D415" s="75" t="s">
        <v>299</v>
      </c>
      <c r="E415" s="75" t="str">
        <f>"০১৭৫১৫২৩৩১৮"</f>
        <v>০১৭৫১৫২৩৩১৮</v>
      </c>
      <c r="F415" s="22" t="str">
        <f>"8119457817606"</f>
        <v>8119457817606</v>
      </c>
      <c r="G415" s="75" t="str">
        <f>"০০৭৬"</f>
        <v>০০৭৬</v>
      </c>
      <c r="H415" s="75" t="s">
        <v>332</v>
      </c>
      <c r="I415" s="75" t="s">
        <v>332</v>
      </c>
      <c r="J415" s="4"/>
    </row>
    <row r="416" spans="1:10" x14ac:dyDescent="0.25">
      <c r="A416" s="39">
        <v>415</v>
      </c>
      <c r="B416" s="3" t="s">
        <v>2</v>
      </c>
      <c r="C416" s="75" t="s">
        <v>178</v>
      </c>
      <c r="D416" s="75" t="s">
        <v>303</v>
      </c>
      <c r="E416" s="75" t="str">
        <f>"০১৭৩৯৭০২৫৬১"</f>
        <v>০১৭৩৯৭০২৫৬১</v>
      </c>
      <c r="F416" s="22" t="str">
        <f>"8119457816858"</f>
        <v>8119457816858</v>
      </c>
      <c r="G416" s="75" t="str">
        <f>"০২১৭"</f>
        <v>০২১৭</v>
      </c>
      <c r="H416" s="75" t="s">
        <v>316</v>
      </c>
      <c r="I416" s="75" t="s">
        <v>316</v>
      </c>
      <c r="J416" s="4"/>
    </row>
    <row r="417" spans="1:10" x14ac:dyDescent="0.25">
      <c r="A417" s="39">
        <v>416</v>
      </c>
      <c r="B417" s="3" t="s">
        <v>1968</v>
      </c>
      <c r="C417" s="75" t="s">
        <v>1969</v>
      </c>
      <c r="D417" s="75" t="s">
        <v>301</v>
      </c>
      <c r="E417" s="75" t="str">
        <f>"০১৭৫৮৪৩১২৪১"</f>
        <v>০১৭৫৮৪৩১২৪১</v>
      </c>
      <c r="F417" s="22" t="str">
        <f>"8119457815103"</f>
        <v>8119457815103</v>
      </c>
      <c r="G417" s="75" t="str">
        <f>"০৫৯৪"</f>
        <v>০৫৯৪</v>
      </c>
      <c r="H417" s="75" t="s">
        <v>330</v>
      </c>
      <c r="I417" s="75" t="s">
        <v>330</v>
      </c>
      <c r="J417" s="4"/>
    </row>
    <row r="418" spans="1:10" x14ac:dyDescent="0.25">
      <c r="A418" s="39">
        <v>417</v>
      </c>
      <c r="B418" s="3" t="s">
        <v>1970</v>
      </c>
      <c r="C418" s="75" t="s">
        <v>1971</v>
      </c>
      <c r="D418" s="75" t="s">
        <v>300</v>
      </c>
      <c r="E418" s="75" t="str">
        <f>"০"</f>
        <v>০</v>
      </c>
      <c r="F418" s="22" t="str">
        <f>"8119457816012"</f>
        <v>8119457816012</v>
      </c>
      <c r="G418" s="75" t="str">
        <f>"০৫৯৩"</f>
        <v>০৫৯৩</v>
      </c>
      <c r="H418" s="75" t="s">
        <v>333</v>
      </c>
      <c r="I418" s="75" t="s">
        <v>333</v>
      </c>
      <c r="J418" s="4"/>
    </row>
    <row r="419" spans="1:10" x14ac:dyDescent="0.25">
      <c r="A419" s="39">
        <v>418</v>
      </c>
      <c r="B419" s="3" t="s">
        <v>1972</v>
      </c>
      <c r="C419" s="75" t="s">
        <v>1973</v>
      </c>
      <c r="D419" s="75" t="s">
        <v>301</v>
      </c>
      <c r="E419" s="75" t="str">
        <f>"০"</f>
        <v>০</v>
      </c>
      <c r="F419" s="22" t="str">
        <f>"8119457815309"</f>
        <v>8119457815309</v>
      </c>
      <c r="G419" s="75" t="str">
        <f>"০৫৯২"</f>
        <v>০৫৯২</v>
      </c>
      <c r="H419" s="75" t="s">
        <v>319</v>
      </c>
      <c r="I419" s="75" t="s">
        <v>319</v>
      </c>
      <c r="J419" s="4"/>
    </row>
    <row r="420" spans="1:10" x14ac:dyDescent="0.25">
      <c r="A420" s="39">
        <v>419</v>
      </c>
      <c r="B420" s="3" t="s">
        <v>1974</v>
      </c>
      <c r="C420" s="75" t="s">
        <v>1975</v>
      </c>
      <c r="D420" s="75" t="s">
        <v>304</v>
      </c>
      <c r="E420" s="75" t="str">
        <f>"০"</f>
        <v>০</v>
      </c>
      <c r="F420" s="22" t="str">
        <f>"8119457816353"</f>
        <v>8119457816353</v>
      </c>
      <c r="G420" s="75" t="str">
        <f>"০৫৯১"</f>
        <v>০৫৯১</v>
      </c>
      <c r="H420" s="75" t="s">
        <v>322</v>
      </c>
      <c r="I420" s="75" t="s">
        <v>322</v>
      </c>
      <c r="J420" s="4"/>
    </row>
    <row r="421" spans="1:10" x14ac:dyDescent="0.25">
      <c r="A421" s="39">
        <v>420</v>
      </c>
      <c r="B421" s="3" t="s">
        <v>1976</v>
      </c>
      <c r="C421" s="75" t="s">
        <v>1672</v>
      </c>
      <c r="D421" s="75" t="s">
        <v>301</v>
      </c>
      <c r="E421" s="75" t="str">
        <f>"০১৮৫৪৭৭৪২১৭"</f>
        <v>০১৮৫৪৭৭৪২১৭</v>
      </c>
      <c r="F421" s="22" t="str">
        <f>"8119457816433"</f>
        <v>8119457816433</v>
      </c>
      <c r="G421" s="75" t="str">
        <f>"০৫৯০"</f>
        <v>০৫৯০</v>
      </c>
      <c r="H421" s="75" t="s">
        <v>319</v>
      </c>
      <c r="I421" s="75" t="s">
        <v>319</v>
      </c>
      <c r="J421" s="4"/>
    </row>
    <row r="422" spans="1:10" x14ac:dyDescent="0.25">
      <c r="A422" s="39">
        <v>421</v>
      </c>
      <c r="B422" s="3" t="s">
        <v>1977</v>
      </c>
      <c r="C422" s="75" t="s">
        <v>1978</v>
      </c>
      <c r="D422" s="75" t="s">
        <v>300</v>
      </c>
      <c r="E422" s="75" t="str">
        <f>"০"</f>
        <v>০</v>
      </c>
      <c r="F422" s="22" t="str">
        <f>"8119457816235"</f>
        <v>8119457816235</v>
      </c>
      <c r="G422" s="75" t="str">
        <f>"০৫৮৯"</f>
        <v>০৫৮৯</v>
      </c>
      <c r="H422" s="75" t="s">
        <v>315</v>
      </c>
      <c r="I422" s="75" t="s">
        <v>315</v>
      </c>
      <c r="J422" s="4"/>
    </row>
    <row r="423" spans="1:10" x14ac:dyDescent="0.25">
      <c r="A423" s="39">
        <v>422</v>
      </c>
      <c r="B423" s="3" t="s">
        <v>1979</v>
      </c>
      <c r="C423" s="75" t="s">
        <v>1980</v>
      </c>
      <c r="D423" s="75" t="s">
        <v>301</v>
      </c>
      <c r="E423" s="75" t="str">
        <f>"০১৭৪০৯৬১৪২৮"</f>
        <v>০১৭৪০৯৬১৪২৮</v>
      </c>
      <c r="F423" s="22" t="str">
        <f>"8119457815271"</f>
        <v>8119457815271</v>
      </c>
      <c r="G423" s="75" t="str">
        <f>"০৫৮৮"</f>
        <v>০৫৮৮</v>
      </c>
      <c r="H423" s="75" t="s">
        <v>316</v>
      </c>
      <c r="I423" s="75" t="s">
        <v>316</v>
      </c>
      <c r="J423" s="4"/>
    </row>
    <row r="424" spans="1:10" x14ac:dyDescent="0.25">
      <c r="A424" s="39">
        <v>423</v>
      </c>
      <c r="B424" s="3" t="s">
        <v>1981</v>
      </c>
      <c r="C424" s="75" t="s">
        <v>1677</v>
      </c>
      <c r="D424" s="75" t="s">
        <v>305</v>
      </c>
      <c r="E424" s="75" t="str">
        <f>"০"</f>
        <v>০</v>
      </c>
      <c r="F424" s="22" t="str">
        <f>"8119457816685"</f>
        <v>8119457816685</v>
      </c>
      <c r="G424" s="75" t="str">
        <f>"০৫৮৭"</f>
        <v>০৫৮৭</v>
      </c>
      <c r="H424" s="75" t="s">
        <v>317</v>
      </c>
      <c r="I424" s="75" t="s">
        <v>317</v>
      </c>
      <c r="J424" s="4"/>
    </row>
    <row r="425" spans="1:10" x14ac:dyDescent="0.25">
      <c r="A425" s="39">
        <v>424</v>
      </c>
      <c r="B425" s="3" t="s">
        <v>1982</v>
      </c>
      <c r="C425" s="75" t="s">
        <v>1983</v>
      </c>
      <c r="D425" s="75" t="s">
        <v>301</v>
      </c>
      <c r="E425" s="75" t="str">
        <f>"০১৭২৪৫৬৪৭৫৪"</f>
        <v>০১৭২৪৫৬৪৭৫৪</v>
      </c>
      <c r="F425" s="22" t="str">
        <f>"8119457815199"</f>
        <v>8119457815199</v>
      </c>
      <c r="G425" s="75" t="str">
        <f>"০৫৮৬"</f>
        <v>০৫৮৬</v>
      </c>
      <c r="H425" s="75" t="s">
        <v>318</v>
      </c>
      <c r="I425" s="75" t="s">
        <v>318</v>
      </c>
      <c r="J425" s="4"/>
    </row>
    <row r="426" spans="1:10" x14ac:dyDescent="0.25">
      <c r="A426" s="39">
        <v>425</v>
      </c>
      <c r="B426" s="3" t="s">
        <v>1984</v>
      </c>
      <c r="C426" s="75" t="s">
        <v>1985</v>
      </c>
      <c r="D426" s="75" t="s">
        <v>301</v>
      </c>
      <c r="E426" s="75" t="str">
        <f>"০"</f>
        <v>০</v>
      </c>
      <c r="F426" s="22" t="str">
        <f>"8119457816263"</f>
        <v>8119457816263</v>
      </c>
      <c r="G426" s="75" t="str">
        <f>"০৫৮৫"</f>
        <v>০৫৮৫</v>
      </c>
      <c r="H426" s="75" t="s">
        <v>319</v>
      </c>
      <c r="I426" s="75" t="s">
        <v>319</v>
      </c>
      <c r="J426" s="4"/>
    </row>
    <row r="427" spans="1:10" x14ac:dyDescent="0.25">
      <c r="A427" s="39">
        <v>426</v>
      </c>
      <c r="B427" s="3" t="s">
        <v>1986</v>
      </c>
      <c r="C427" s="75" t="s">
        <v>1987</v>
      </c>
      <c r="D427" s="75" t="s">
        <v>301</v>
      </c>
      <c r="E427" s="75" t="str">
        <f>"০"</f>
        <v>০</v>
      </c>
      <c r="F427" s="22" t="str">
        <f>"8119457816245"</f>
        <v>8119457816245</v>
      </c>
      <c r="G427" s="75" t="str">
        <f>"০৫৮৪"</f>
        <v>০৫৮৪</v>
      </c>
      <c r="H427" s="75" t="s">
        <v>320</v>
      </c>
      <c r="I427" s="75" t="s">
        <v>320</v>
      </c>
      <c r="J427" s="4"/>
    </row>
    <row r="428" spans="1:10" x14ac:dyDescent="0.25">
      <c r="A428" s="39">
        <v>427</v>
      </c>
      <c r="B428" s="3" t="s">
        <v>1988</v>
      </c>
      <c r="C428" s="75" t="s">
        <v>1989</v>
      </c>
      <c r="D428" s="75" t="s">
        <v>301</v>
      </c>
      <c r="E428" s="75" t="str">
        <f>"০"</f>
        <v>০</v>
      </c>
      <c r="F428" s="22" t="str">
        <f>"8119457815395"</f>
        <v>8119457815395</v>
      </c>
      <c r="G428" s="75" t="str">
        <f>"০৫৮৩"</f>
        <v>০৫৮৩</v>
      </c>
      <c r="H428" s="75" t="s">
        <v>315</v>
      </c>
      <c r="I428" s="75" t="s">
        <v>315</v>
      </c>
      <c r="J428" s="4"/>
    </row>
    <row r="429" spans="1:10" x14ac:dyDescent="0.25">
      <c r="A429" s="39">
        <v>428</v>
      </c>
      <c r="B429" s="3" t="s">
        <v>1990</v>
      </c>
      <c r="C429" s="75" t="s">
        <v>1991</v>
      </c>
      <c r="D429" s="75" t="s">
        <v>304</v>
      </c>
      <c r="E429" s="75" t="str">
        <f>"০১৭২৭৬০৮৩৯১"</f>
        <v>০১৭২৭৬০৮৩৯১</v>
      </c>
      <c r="F429" s="22" t="str">
        <f>"8119457816310"</f>
        <v>8119457816310</v>
      </c>
      <c r="G429" s="75" t="str">
        <f>"০৫৮২"</f>
        <v>০৫৮২</v>
      </c>
      <c r="H429" s="75" t="s">
        <v>313</v>
      </c>
      <c r="I429" s="75" t="s">
        <v>313</v>
      </c>
      <c r="J429" s="4"/>
    </row>
    <row r="430" spans="1:10" x14ac:dyDescent="0.25">
      <c r="A430" s="39">
        <v>429</v>
      </c>
      <c r="B430" s="3" t="s">
        <v>1992</v>
      </c>
      <c r="C430" s="75" t="s">
        <v>1993</v>
      </c>
      <c r="D430" s="75" t="s">
        <v>304</v>
      </c>
      <c r="E430" s="75" t="str">
        <f>"০"</f>
        <v>০</v>
      </c>
      <c r="F430" s="22" t="str">
        <f>"8119457816315"</f>
        <v>8119457816315</v>
      </c>
      <c r="G430" s="75" t="str">
        <f>"০৫৮১"</f>
        <v>০৫৮১</v>
      </c>
      <c r="H430" s="75" t="s">
        <v>314</v>
      </c>
      <c r="I430" s="75" t="s">
        <v>314</v>
      </c>
      <c r="J430" s="4"/>
    </row>
    <row r="431" spans="1:10" x14ac:dyDescent="0.25">
      <c r="A431" s="39">
        <v>430</v>
      </c>
      <c r="B431" s="3" t="s">
        <v>1994</v>
      </c>
      <c r="C431" s="75" t="s">
        <v>1642</v>
      </c>
      <c r="D431" s="75" t="s">
        <v>300</v>
      </c>
      <c r="E431" s="75" t="str">
        <f>"০"</f>
        <v>০</v>
      </c>
      <c r="F431" s="22" t="str">
        <f>"8119457816590"</f>
        <v>8119457816590</v>
      </c>
      <c r="G431" s="75" t="str">
        <f>"০৫৮০"</f>
        <v>০৫৮০</v>
      </c>
      <c r="H431" s="75" t="s">
        <v>321</v>
      </c>
      <c r="I431" s="75" t="s">
        <v>321</v>
      </c>
      <c r="J431" s="4"/>
    </row>
    <row r="432" spans="1:10" x14ac:dyDescent="0.25">
      <c r="A432" s="39">
        <v>431</v>
      </c>
      <c r="B432" s="3" t="s">
        <v>1995</v>
      </c>
      <c r="C432" s="75" t="s">
        <v>1996</v>
      </c>
      <c r="D432" s="75" t="s">
        <v>304</v>
      </c>
      <c r="E432" s="75" t="str">
        <f>"০"</f>
        <v>০</v>
      </c>
      <c r="F432" s="22" t="str">
        <f>"8119457816285"</f>
        <v>8119457816285</v>
      </c>
      <c r="G432" s="75" t="str">
        <f>"০৫৭৯"</f>
        <v>০৫৭৯</v>
      </c>
      <c r="H432" s="75" t="s">
        <v>322</v>
      </c>
      <c r="I432" s="75" t="s">
        <v>322</v>
      </c>
      <c r="J432" s="4"/>
    </row>
    <row r="433" spans="1:10" x14ac:dyDescent="0.25">
      <c r="A433" s="39">
        <v>432</v>
      </c>
      <c r="B433" s="3" t="s">
        <v>1997</v>
      </c>
      <c r="C433" s="75" t="s">
        <v>1998</v>
      </c>
      <c r="D433" s="75" t="s">
        <v>300</v>
      </c>
      <c r="E433" s="75" t="str">
        <f>"০"</f>
        <v>০</v>
      </c>
      <c r="F433" s="22" t="str">
        <f>"8119457815679"</f>
        <v>8119457815679</v>
      </c>
      <c r="G433" s="75" t="str">
        <f>"০৫৭৮"</f>
        <v>০৫৭৮</v>
      </c>
      <c r="H433" s="75" t="s">
        <v>314</v>
      </c>
      <c r="I433" s="75" t="s">
        <v>314</v>
      </c>
      <c r="J433" s="4"/>
    </row>
    <row r="434" spans="1:10" x14ac:dyDescent="0.25">
      <c r="A434" s="39">
        <v>433</v>
      </c>
      <c r="B434" s="3" t="s">
        <v>1999</v>
      </c>
      <c r="C434" s="75" t="s">
        <v>1677</v>
      </c>
      <c r="D434" s="75" t="s">
        <v>300</v>
      </c>
      <c r="E434" s="75" t="str">
        <f>"০১৭৩৮৭০৬৫৭০"</f>
        <v>০১৭৩৮৭০৬৫৭০</v>
      </c>
      <c r="F434" s="22" t="str">
        <f>"8119457815796"</f>
        <v>8119457815796</v>
      </c>
      <c r="G434" s="75" t="str">
        <f>"০৫৭৭"</f>
        <v>০৫৭৭</v>
      </c>
      <c r="H434" s="75" t="s">
        <v>323</v>
      </c>
      <c r="I434" s="75" t="s">
        <v>323</v>
      </c>
      <c r="J434" s="4"/>
    </row>
    <row r="435" spans="1:10" x14ac:dyDescent="0.25">
      <c r="A435" s="39">
        <v>434</v>
      </c>
      <c r="B435" s="3" t="s">
        <v>2000</v>
      </c>
      <c r="C435" s="75" t="s">
        <v>2001</v>
      </c>
      <c r="D435" s="75" t="s">
        <v>299</v>
      </c>
      <c r="E435" s="75" t="str">
        <f>"০১৮২৭৫৯৮০৯২"</f>
        <v>০১৮২৭৫৯৮০৯২</v>
      </c>
      <c r="F435" s="22" t="str">
        <f>"8119457817668"</f>
        <v>8119457817668</v>
      </c>
      <c r="G435" s="75" t="str">
        <f>"০০৮১"</f>
        <v>০০৮১</v>
      </c>
      <c r="H435" s="75" t="s">
        <v>324</v>
      </c>
      <c r="I435" s="75" t="s">
        <v>324</v>
      </c>
      <c r="J435" s="4"/>
    </row>
    <row r="436" spans="1:10" x14ac:dyDescent="0.25">
      <c r="A436" s="39">
        <v>435</v>
      </c>
      <c r="B436" s="3" t="s">
        <v>1888</v>
      </c>
      <c r="C436" s="75" t="s">
        <v>2002</v>
      </c>
      <c r="D436" s="75" t="s">
        <v>299</v>
      </c>
      <c r="E436" s="75" t="str">
        <f>"০"</f>
        <v>০</v>
      </c>
      <c r="F436" s="22" t="str">
        <f>"8119457817599"</f>
        <v>8119457817599</v>
      </c>
      <c r="G436" s="75" t="str">
        <f>"০০৮০"</f>
        <v>০০৮০</v>
      </c>
      <c r="H436" s="75" t="s">
        <v>325</v>
      </c>
      <c r="I436" s="75" t="s">
        <v>325</v>
      </c>
      <c r="J436" s="4"/>
    </row>
    <row r="437" spans="1:10" x14ac:dyDescent="0.25">
      <c r="A437" s="39">
        <v>436</v>
      </c>
      <c r="B437" s="3" t="s">
        <v>1679</v>
      </c>
      <c r="C437" s="75" t="s">
        <v>2003</v>
      </c>
      <c r="D437" s="75" t="s">
        <v>299</v>
      </c>
      <c r="E437" s="75" t="str">
        <f>"০১৭১৭৫১৬৪৪৫"</f>
        <v>০১৭১৭৫১৬৪৪৫</v>
      </c>
      <c r="F437" s="22" t="str">
        <f>"8119457814904"</f>
        <v>8119457814904</v>
      </c>
      <c r="G437" s="75" t="str">
        <f>"০০৭৯"</f>
        <v>০০৭৯</v>
      </c>
      <c r="H437" s="75" t="s">
        <v>319</v>
      </c>
      <c r="I437" s="75" t="s">
        <v>319</v>
      </c>
      <c r="J437" s="4"/>
    </row>
    <row r="438" spans="1:10" x14ac:dyDescent="0.25">
      <c r="A438" s="39">
        <v>437</v>
      </c>
      <c r="B438" s="3" t="s">
        <v>2004</v>
      </c>
      <c r="C438" s="75" t="s">
        <v>179</v>
      </c>
      <c r="D438" s="75" t="s">
        <v>299</v>
      </c>
      <c r="E438" s="75" t="str">
        <f>"০১৭৭৪৫৪৬৯২৬"</f>
        <v>০১৭৭৪৫৪৬৯২৬</v>
      </c>
      <c r="F438" s="22" t="str">
        <f>"8119457817716"</f>
        <v>8119457817716</v>
      </c>
      <c r="G438" s="75" t="str">
        <f>"০১২৭"</f>
        <v>০১২৭</v>
      </c>
      <c r="H438" s="75" t="s">
        <v>326</v>
      </c>
      <c r="I438" s="75" t="s">
        <v>326</v>
      </c>
      <c r="J438" s="4"/>
    </row>
    <row r="439" spans="1:10" x14ac:dyDescent="0.25">
      <c r="A439" s="39">
        <v>438</v>
      </c>
      <c r="B439" s="3" t="s">
        <v>2005</v>
      </c>
      <c r="C439" s="75" t="s">
        <v>2006</v>
      </c>
      <c r="D439" s="75" t="s">
        <v>301</v>
      </c>
      <c r="E439" s="75" t="str">
        <f>"০১৭১৬০৮০৬৭৭"</f>
        <v>০১৭১৬০৮০৬৭৭</v>
      </c>
      <c r="F439" s="22" t="str">
        <f>"8119457815455"</f>
        <v>8119457815455</v>
      </c>
      <c r="G439" s="75" t="str">
        <f>"০৬২৪"</f>
        <v>০৬২৪</v>
      </c>
      <c r="H439" s="75" t="s">
        <v>327</v>
      </c>
      <c r="I439" s="75" t="s">
        <v>327</v>
      </c>
      <c r="J439" s="4"/>
    </row>
    <row r="440" spans="1:10" x14ac:dyDescent="0.25">
      <c r="A440" s="39">
        <v>439</v>
      </c>
      <c r="B440" s="3" t="s">
        <v>2007</v>
      </c>
      <c r="C440" s="75" t="s">
        <v>2008</v>
      </c>
      <c r="D440" s="75" t="s">
        <v>301</v>
      </c>
      <c r="E440" s="75" t="str">
        <f>"০"</f>
        <v>০</v>
      </c>
      <c r="F440" s="22" t="str">
        <f>"8119457816304"</f>
        <v>8119457816304</v>
      </c>
      <c r="G440" s="75" t="str">
        <f>"০৬২৩"</f>
        <v>০৬২৩</v>
      </c>
      <c r="H440" s="75" t="s">
        <v>328</v>
      </c>
      <c r="I440" s="75" t="s">
        <v>328</v>
      </c>
      <c r="J440" s="4"/>
    </row>
    <row r="441" spans="1:10" x14ac:dyDescent="0.25">
      <c r="A441" s="39">
        <v>440</v>
      </c>
      <c r="B441" s="3" t="s">
        <v>2009</v>
      </c>
      <c r="C441" s="75" t="s">
        <v>1953</v>
      </c>
      <c r="D441" s="75" t="s">
        <v>301</v>
      </c>
      <c r="E441" s="75" t="str">
        <f>"০১৭৫৯২৬০৩০২"</f>
        <v>০১৭৫৯২৬০৩০২</v>
      </c>
      <c r="F441" s="22" t="str">
        <f>"8119457815301"</f>
        <v>8119457815301</v>
      </c>
      <c r="G441" s="75" t="str">
        <f>"০৬২২"</f>
        <v>০৬২২</v>
      </c>
      <c r="H441" s="75" t="s">
        <v>329</v>
      </c>
      <c r="I441" s="75" t="s">
        <v>329</v>
      </c>
      <c r="J441" s="4"/>
    </row>
    <row r="442" spans="1:10" x14ac:dyDescent="0.25">
      <c r="A442" s="39">
        <v>441</v>
      </c>
      <c r="B442" s="3" t="s">
        <v>2010</v>
      </c>
      <c r="C442" s="75" t="s">
        <v>2011</v>
      </c>
      <c r="D442" s="75" t="s">
        <v>301</v>
      </c>
      <c r="E442" s="75" t="str">
        <f>"০"</f>
        <v>০</v>
      </c>
      <c r="F442" s="22" t="str">
        <f>"8119457816286"</f>
        <v>8119457816286</v>
      </c>
      <c r="G442" s="75" t="str">
        <f>"০৬২১"</f>
        <v>০৬২১</v>
      </c>
      <c r="H442" s="75" t="s">
        <v>330</v>
      </c>
      <c r="I442" s="75" t="s">
        <v>330</v>
      </c>
      <c r="J442" s="4"/>
    </row>
    <row r="443" spans="1:10" x14ac:dyDescent="0.25">
      <c r="A443" s="39">
        <v>442</v>
      </c>
      <c r="B443" s="3" t="s">
        <v>1619</v>
      </c>
      <c r="C443" s="75" t="s">
        <v>2012</v>
      </c>
      <c r="D443" s="75" t="s">
        <v>297</v>
      </c>
      <c r="E443" s="75" t="str">
        <f>"০"</f>
        <v>০</v>
      </c>
      <c r="F443" s="22" t="str">
        <f>"8119457818298"</f>
        <v>8119457818298</v>
      </c>
      <c r="G443" s="75" t="str">
        <f>"১৭৮১"</f>
        <v>১৭৮১</v>
      </c>
      <c r="H443" s="75" t="s">
        <v>319</v>
      </c>
      <c r="I443" s="75" t="s">
        <v>319</v>
      </c>
      <c r="J443" s="4"/>
    </row>
    <row r="444" spans="1:10" x14ac:dyDescent="0.25">
      <c r="A444" s="39">
        <v>443</v>
      </c>
      <c r="B444" s="3" t="s">
        <v>2013</v>
      </c>
      <c r="C444" s="75" t="s">
        <v>2014</v>
      </c>
      <c r="D444" s="75" t="s">
        <v>301</v>
      </c>
      <c r="E444" s="75" t="str">
        <f>"০১৭৪৫৪২৫৫১১"</f>
        <v>০১৭৪৫৪২৫৫১১</v>
      </c>
      <c r="F444" s="22" t="str">
        <f>"8119457815451"</f>
        <v>8119457815451</v>
      </c>
      <c r="G444" s="75" t="str">
        <f>"০৬১৯"</f>
        <v>০৬১৯</v>
      </c>
      <c r="H444" s="75" t="s">
        <v>317</v>
      </c>
      <c r="I444" s="75" t="s">
        <v>317</v>
      </c>
      <c r="J444" s="4"/>
    </row>
    <row r="445" spans="1:10" x14ac:dyDescent="0.25">
      <c r="A445" s="39">
        <v>444</v>
      </c>
      <c r="B445" s="3" t="s">
        <v>2012</v>
      </c>
      <c r="C445" s="75" t="s">
        <v>2015</v>
      </c>
      <c r="D445" s="75" t="s">
        <v>297</v>
      </c>
      <c r="E445" s="75" t="str">
        <f>"০১৭২৫৮২০৮৩১"</f>
        <v>০১৭২৫৮২০৮৩১</v>
      </c>
      <c r="F445" s="22" t="str">
        <f>"8119457818297"</f>
        <v>8119457818297</v>
      </c>
      <c r="G445" s="75" t="str">
        <f>"১৭৮০"</f>
        <v>১৭৮০</v>
      </c>
      <c r="H445" s="75" t="s">
        <v>323</v>
      </c>
      <c r="I445" s="75" t="s">
        <v>323</v>
      </c>
      <c r="J445" s="4"/>
    </row>
    <row r="446" spans="1:10" x14ac:dyDescent="0.25">
      <c r="A446" s="39">
        <v>445</v>
      </c>
      <c r="B446" s="3" t="s">
        <v>1618</v>
      </c>
      <c r="C446" s="75" t="s">
        <v>2016</v>
      </c>
      <c r="D446" s="75" t="s">
        <v>297</v>
      </c>
      <c r="E446" s="75" t="str">
        <f>"০১৭২৭৫৪১২৬৪"</f>
        <v>০১৭২৭৫৪১২৬৪</v>
      </c>
      <c r="F446" s="22" t="str">
        <f>"8119457818301"</f>
        <v>8119457818301</v>
      </c>
      <c r="G446" s="75" t="str">
        <f>"১৭৮২"</f>
        <v>১৭৮২</v>
      </c>
      <c r="H446" s="75" t="s">
        <v>326</v>
      </c>
      <c r="I446" s="75" t="s">
        <v>326</v>
      </c>
      <c r="J446" s="4"/>
    </row>
    <row r="447" spans="1:10" x14ac:dyDescent="0.25">
      <c r="A447" s="39">
        <v>446</v>
      </c>
      <c r="B447" s="3" t="s">
        <v>2016</v>
      </c>
      <c r="C447" s="75" t="s">
        <v>2015</v>
      </c>
      <c r="D447" s="75" t="s">
        <v>297</v>
      </c>
      <c r="E447" s="75" t="str">
        <f>"০১৮৬৮৯৭৫৭০১"</f>
        <v>০১৮৬৮৯৭৫৭০১</v>
      </c>
      <c r="F447" s="22" t="str">
        <f>"8119457818300"</f>
        <v>8119457818300</v>
      </c>
      <c r="G447" s="75" t="str">
        <f>"১৭৮৩"</f>
        <v>১৭৮৩</v>
      </c>
      <c r="H447" s="75" t="s">
        <v>331</v>
      </c>
      <c r="I447" s="75" t="s">
        <v>331</v>
      </c>
      <c r="J447" s="4"/>
    </row>
    <row r="448" spans="1:10" x14ac:dyDescent="0.25">
      <c r="A448" s="39">
        <v>447</v>
      </c>
      <c r="B448" s="3" t="s">
        <v>2017</v>
      </c>
      <c r="C448" s="75" t="s">
        <v>2018</v>
      </c>
      <c r="D448" s="75" t="s">
        <v>297</v>
      </c>
      <c r="E448" s="75" t="str">
        <f>"০১৮২০৮১৮৩৫০"</f>
        <v>০১৮২০৮১৮৩৫০</v>
      </c>
      <c r="F448" s="22" t="str">
        <f>"8119457817865"</f>
        <v>8119457817865</v>
      </c>
      <c r="G448" s="75" t="str">
        <f>"১৮৩২"</f>
        <v>১৮৩২</v>
      </c>
      <c r="H448" s="75" t="s">
        <v>329</v>
      </c>
      <c r="I448" s="75" t="s">
        <v>329</v>
      </c>
      <c r="J448" s="4"/>
    </row>
    <row r="449" spans="1:10" x14ac:dyDescent="0.25">
      <c r="A449" s="39">
        <v>448</v>
      </c>
      <c r="B449" s="3" t="s">
        <v>2000</v>
      </c>
      <c r="C449" s="75" t="s">
        <v>2019</v>
      </c>
      <c r="D449" s="75" t="s">
        <v>301</v>
      </c>
      <c r="E449" s="75" t="str">
        <f>"০১৮৬১৩১৫৪১৩"</f>
        <v>০১৮৬১৩১৫৪১৩</v>
      </c>
      <c r="F449" s="22" t="str">
        <f>"8119457815420"</f>
        <v>8119457815420</v>
      </c>
      <c r="G449" s="75" t="str">
        <f>"০৬১১"</f>
        <v>০৬১১</v>
      </c>
      <c r="H449" s="75" t="s">
        <v>333</v>
      </c>
      <c r="I449" s="75" t="s">
        <v>333</v>
      </c>
      <c r="J449" s="4"/>
    </row>
    <row r="450" spans="1:10" x14ac:dyDescent="0.25">
      <c r="A450" s="39">
        <v>449</v>
      </c>
      <c r="B450" s="3" t="s">
        <v>2020</v>
      </c>
      <c r="C450" s="75" t="s">
        <v>2021</v>
      </c>
      <c r="D450" s="75" t="s">
        <v>301</v>
      </c>
      <c r="E450" s="75" t="str">
        <f>"০১৭২৪৯৮২৮৮৮"</f>
        <v>০১৭২৪৯৮২৮৮৮</v>
      </c>
      <c r="F450" s="22" t="str">
        <f>"8119457815635"</f>
        <v>8119457815635</v>
      </c>
      <c r="G450" s="75" t="str">
        <f>"০৬১০"</f>
        <v>০৬১০</v>
      </c>
      <c r="H450" s="75" t="s">
        <v>319</v>
      </c>
      <c r="I450" s="75" t="s">
        <v>319</v>
      </c>
      <c r="J450" s="4"/>
    </row>
    <row r="451" spans="1:10" x14ac:dyDescent="0.25">
      <c r="A451" s="39">
        <v>450</v>
      </c>
      <c r="B451" s="3" t="s">
        <v>2022</v>
      </c>
      <c r="C451" s="75" t="s">
        <v>2023</v>
      </c>
      <c r="D451" s="75" t="s">
        <v>301</v>
      </c>
      <c r="E451" s="75" t="str">
        <f>"০১৭৪৭২০২১৫৫"</f>
        <v>০১৭৪৭২০২১৫৫</v>
      </c>
      <c r="F451" s="22" t="str">
        <f>"8119457815297"</f>
        <v>8119457815297</v>
      </c>
      <c r="G451" s="75" t="str">
        <f>"০৬৬৭"</f>
        <v>০৬৬৭</v>
      </c>
      <c r="H451" s="75" t="s">
        <v>322</v>
      </c>
      <c r="I451" s="75" t="s">
        <v>322</v>
      </c>
      <c r="J451" s="4"/>
    </row>
    <row r="452" spans="1:10" x14ac:dyDescent="0.25">
      <c r="A452" s="39">
        <v>451</v>
      </c>
      <c r="B452" s="3" t="s">
        <v>1931</v>
      </c>
      <c r="C452" s="75" t="s">
        <v>2024</v>
      </c>
      <c r="D452" s="75" t="s">
        <v>301</v>
      </c>
      <c r="E452" s="75" t="str">
        <f>"০১৭৫৯৪৭৮৫৫৪"</f>
        <v>০১৭৫৯৪৭৮৫৫৪</v>
      </c>
      <c r="F452" s="22" t="str">
        <f>"8119457815241"</f>
        <v>8119457815241</v>
      </c>
      <c r="G452" s="75" t="str">
        <f>"০৬৫৯"</f>
        <v>০৬৫৯</v>
      </c>
      <c r="H452" s="75" t="s">
        <v>319</v>
      </c>
      <c r="I452" s="75" t="s">
        <v>319</v>
      </c>
      <c r="J452" s="4"/>
    </row>
    <row r="453" spans="1:10" x14ac:dyDescent="0.25">
      <c r="A453" s="39">
        <v>452</v>
      </c>
      <c r="B453" s="3" t="s">
        <v>1791</v>
      </c>
      <c r="C453" s="75" t="s">
        <v>2025</v>
      </c>
      <c r="D453" s="75" t="s">
        <v>301</v>
      </c>
      <c r="E453" s="75" t="str">
        <f>"০১৮৫৮১০২৮৩৮"</f>
        <v>০১৮৫৮১০২৮৩৮</v>
      </c>
      <c r="F453" s="22" t="str">
        <f>"8119457810014"</f>
        <v>8119457810014</v>
      </c>
      <c r="G453" s="75" t="str">
        <f>"০৬৬৪"</f>
        <v>০৬৬৪</v>
      </c>
      <c r="H453" s="75" t="s">
        <v>313</v>
      </c>
      <c r="I453" s="75" t="s">
        <v>313</v>
      </c>
      <c r="J453" s="4"/>
    </row>
    <row r="454" spans="1:10" x14ac:dyDescent="0.25">
      <c r="A454" s="39">
        <v>453</v>
      </c>
      <c r="B454" s="3" t="s">
        <v>2026</v>
      </c>
      <c r="C454" s="75" t="s">
        <v>2027</v>
      </c>
      <c r="D454" s="75" t="s">
        <v>301</v>
      </c>
      <c r="E454" s="75" t="str">
        <f>"০১৭২৮৪০৩৮৬৮"</f>
        <v>০১৭২৮৪০৩৮৬৮</v>
      </c>
      <c r="F454" s="22" t="str">
        <f>"8119457815296"</f>
        <v>8119457815296</v>
      </c>
      <c r="G454" s="75" t="str">
        <f>"০৬৬৩"</f>
        <v>০৬৬৩</v>
      </c>
      <c r="H454" s="75" t="s">
        <v>314</v>
      </c>
      <c r="I454" s="75" t="s">
        <v>314</v>
      </c>
      <c r="J454" s="4"/>
    </row>
    <row r="455" spans="1:10" x14ac:dyDescent="0.25">
      <c r="A455" s="39">
        <v>454</v>
      </c>
      <c r="B455" s="3" t="s">
        <v>2028</v>
      </c>
      <c r="C455" s="75" t="s">
        <v>2574</v>
      </c>
      <c r="D455" s="75" t="s">
        <v>301</v>
      </c>
      <c r="E455" s="75" t="str">
        <f>"০১৭২৪২৬৭১৭৩"</f>
        <v>০১৭২৪২৬৭১৭৩</v>
      </c>
      <c r="F455" s="22" t="str">
        <f>"8119457815254"</f>
        <v>8119457815254</v>
      </c>
      <c r="G455" s="75" t="str">
        <f>"০৬৬২"</f>
        <v>০৬৬২</v>
      </c>
      <c r="H455" s="75" t="s">
        <v>315</v>
      </c>
      <c r="I455" s="75" t="s">
        <v>315</v>
      </c>
      <c r="J455" s="4"/>
    </row>
    <row r="456" spans="1:10" x14ac:dyDescent="0.25">
      <c r="A456" s="39">
        <v>455</v>
      </c>
      <c r="B456" s="3" t="s">
        <v>2030</v>
      </c>
      <c r="C456" s="75" t="s">
        <v>2023</v>
      </c>
      <c r="D456" s="75" t="s">
        <v>297</v>
      </c>
      <c r="E456" s="75" t="str">
        <f t="shared" ref="E456:E517" si="4">"০"</f>
        <v>০</v>
      </c>
      <c r="F456" s="22" t="str">
        <f>"8119457816602"</f>
        <v>8119457816602</v>
      </c>
      <c r="G456" s="75" t="str">
        <f>"৯৫৬"</f>
        <v>৯৫৬</v>
      </c>
      <c r="H456" s="75" t="s">
        <v>316</v>
      </c>
      <c r="I456" s="75" t="s">
        <v>316</v>
      </c>
      <c r="J456" s="4"/>
    </row>
    <row r="457" spans="1:10" x14ac:dyDescent="0.25">
      <c r="A457" s="39">
        <v>456</v>
      </c>
      <c r="B457" s="3" t="s">
        <v>2031</v>
      </c>
      <c r="C457" s="75" t="s">
        <v>2032</v>
      </c>
      <c r="D457" s="75" t="s">
        <v>297</v>
      </c>
      <c r="E457" s="75" t="str">
        <f t="shared" si="4"/>
        <v>০</v>
      </c>
      <c r="F457" s="22" t="str">
        <f>"8119457816821"</f>
        <v>8119457816821</v>
      </c>
      <c r="G457" s="75" t="str">
        <f>"৯৫৫"</f>
        <v>৯৫৫</v>
      </c>
      <c r="H457" s="75" t="s">
        <v>317</v>
      </c>
      <c r="I457" s="75" t="s">
        <v>317</v>
      </c>
      <c r="J457" s="4"/>
    </row>
    <row r="458" spans="1:10" x14ac:dyDescent="0.25">
      <c r="A458" s="39">
        <v>457</v>
      </c>
      <c r="B458" s="3" t="s">
        <v>2033</v>
      </c>
      <c r="C458" s="75" t="s">
        <v>1544</v>
      </c>
      <c r="D458" s="75" t="s">
        <v>297</v>
      </c>
      <c r="E458" s="75" t="str">
        <f t="shared" si="4"/>
        <v>০</v>
      </c>
      <c r="F458" s="22" t="str">
        <f>"8119457816822"</f>
        <v>8119457816822</v>
      </c>
      <c r="G458" s="75" t="str">
        <f>"৯৫৪"</f>
        <v>৯৫৪</v>
      </c>
      <c r="H458" s="75" t="s">
        <v>318</v>
      </c>
      <c r="I458" s="75" t="s">
        <v>318</v>
      </c>
      <c r="J458" s="4"/>
    </row>
    <row r="459" spans="1:10" x14ac:dyDescent="0.25">
      <c r="A459" s="39">
        <v>458</v>
      </c>
      <c r="B459" s="3" t="s">
        <v>1635</v>
      </c>
      <c r="C459" s="75" t="s">
        <v>2034</v>
      </c>
      <c r="D459" s="75" t="s">
        <v>297</v>
      </c>
      <c r="E459" s="75" t="str">
        <f t="shared" si="4"/>
        <v>০</v>
      </c>
      <c r="F459" s="22" t="str">
        <f>"8119457816665"</f>
        <v>8119457816665</v>
      </c>
      <c r="G459" s="75" t="str">
        <f>"৯৫৩"</f>
        <v>৯৫৩</v>
      </c>
      <c r="H459" s="75" t="s">
        <v>319</v>
      </c>
      <c r="I459" s="75" t="s">
        <v>319</v>
      </c>
      <c r="J459" s="4"/>
    </row>
    <row r="460" spans="1:10" x14ac:dyDescent="0.25">
      <c r="A460" s="39">
        <v>459</v>
      </c>
      <c r="B460" s="3" t="s">
        <v>2035</v>
      </c>
      <c r="C460" s="75" t="s">
        <v>2036</v>
      </c>
      <c r="D460" s="75" t="s">
        <v>297</v>
      </c>
      <c r="E460" s="75" t="str">
        <f t="shared" si="4"/>
        <v>০</v>
      </c>
      <c r="F460" s="24" t="str">
        <f>"8119457816609"</f>
        <v>8119457816609</v>
      </c>
      <c r="G460" s="75" t="str">
        <f>"৯৫২"</f>
        <v>৯৫২</v>
      </c>
      <c r="H460" s="75" t="s">
        <v>320</v>
      </c>
      <c r="I460" s="75" t="s">
        <v>320</v>
      </c>
      <c r="J460" s="4"/>
    </row>
    <row r="461" spans="1:10" x14ac:dyDescent="0.25">
      <c r="A461" s="39">
        <v>460</v>
      </c>
      <c r="B461" s="3" t="s">
        <v>2037</v>
      </c>
      <c r="C461" s="75" t="s">
        <v>2038</v>
      </c>
      <c r="D461" s="75" t="s">
        <v>297</v>
      </c>
      <c r="E461" s="75" t="str">
        <f t="shared" si="4"/>
        <v>০</v>
      </c>
      <c r="F461" s="22" t="str">
        <f>"8119457816837"</f>
        <v>8119457816837</v>
      </c>
      <c r="G461" s="75" t="str">
        <f>"৯৫১"</f>
        <v>৯৫১</v>
      </c>
      <c r="H461" s="75" t="s">
        <v>315</v>
      </c>
      <c r="I461" s="75" t="s">
        <v>315</v>
      </c>
      <c r="J461" s="4"/>
    </row>
    <row r="462" spans="1:10" x14ac:dyDescent="0.25">
      <c r="A462" s="39">
        <v>461</v>
      </c>
      <c r="B462" s="3" t="s">
        <v>1545</v>
      </c>
      <c r="C462" s="75" t="s">
        <v>2039</v>
      </c>
      <c r="D462" s="75" t="s">
        <v>297</v>
      </c>
      <c r="E462" s="75" t="str">
        <f t="shared" si="4"/>
        <v>০</v>
      </c>
      <c r="F462" s="22" t="str">
        <f>"8119457817588"</f>
        <v>8119457817588</v>
      </c>
      <c r="G462" s="75" t="str">
        <f>"৯৫০"</f>
        <v>৯৫০</v>
      </c>
      <c r="H462" s="75" t="s">
        <v>313</v>
      </c>
      <c r="I462" s="75" t="s">
        <v>313</v>
      </c>
      <c r="J462" s="4"/>
    </row>
    <row r="463" spans="1:10" x14ac:dyDescent="0.25">
      <c r="A463" s="39">
        <v>462</v>
      </c>
      <c r="B463" s="3" t="s">
        <v>1542</v>
      </c>
      <c r="C463" s="75" t="s">
        <v>2040</v>
      </c>
      <c r="D463" s="75" t="s">
        <v>297</v>
      </c>
      <c r="E463" s="75" t="str">
        <f t="shared" si="4"/>
        <v>০</v>
      </c>
      <c r="F463" s="22" t="str">
        <f>"8119457816745"</f>
        <v>8119457816745</v>
      </c>
      <c r="G463" s="75" t="str">
        <f>"৯৪৯"</f>
        <v>৯৪৯</v>
      </c>
      <c r="H463" s="75" t="s">
        <v>314</v>
      </c>
      <c r="I463" s="75" t="s">
        <v>314</v>
      </c>
      <c r="J463" s="4"/>
    </row>
    <row r="464" spans="1:10" x14ac:dyDescent="0.25">
      <c r="A464" s="39">
        <v>463</v>
      </c>
      <c r="B464" s="3" t="s">
        <v>2041</v>
      </c>
      <c r="C464" s="75" t="s">
        <v>2042</v>
      </c>
      <c r="D464" s="75" t="s">
        <v>297</v>
      </c>
      <c r="E464" s="75" t="str">
        <f t="shared" si="4"/>
        <v>০</v>
      </c>
      <c r="F464" s="22" t="str">
        <f>"8119457816838"</f>
        <v>8119457816838</v>
      </c>
      <c r="G464" s="75" t="str">
        <f>"৯৪৮"</f>
        <v>৯৪৮</v>
      </c>
      <c r="H464" s="75" t="s">
        <v>321</v>
      </c>
      <c r="I464" s="75" t="s">
        <v>321</v>
      </c>
      <c r="J464" s="4"/>
    </row>
    <row r="465" spans="1:10" x14ac:dyDescent="0.25">
      <c r="A465" s="39">
        <v>464</v>
      </c>
      <c r="B465" s="3" t="s">
        <v>2043</v>
      </c>
      <c r="C465" s="75" t="s">
        <v>2044</v>
      </c>
      <c r="D465" s="75" t="s">
        <v>297</v>
      </c>
      <c r="E465" s="75" t="str">
        <f t="shared" si="4"/>
        <v>০</v>
      </c>
      <c r="F465" s="22" t="str">
        <f>"8119457811531"</f>
        <v>8119457811531</v>
      </c>
      <c r="G465" s="75" t="str">
        <f>"৯৪৭"</f>
        <v>৯৪৭</v>
      </c>
      <c r="H465" s="75" t="s">
        <v>322</v>
      </c>
      <c r="I465" s="75" t="s">
        <v>322</v>
      </c>
      <c r="J465" s="4"/>
    </row>
    <row r="466" spans="1:10" x14ac:dyDescent="0.25">
      <c r="A466" s="39">
        <v>465</v>
      </c>
      <c r="B466" s="3" t="s">
        <v>2045</v>
      </c>
      <c r="C466" s="75" t="s">
        <v>1594</v>
      </c>
      <c r="D466" s="75" t="s">
        <v>297</v>
      </c>
      <c r="E466" s="75" t="str">
        <f t="shared" si="4"/>
        <v>০</v>
      </c>
      <c r="F466" s="22" t="str">
        <f>"8119457000202"</f>
        <v>8119457000202</v>
      </c>
      <c r="G466" s="75" t="str">
        <f>"৯৪৬"</f>
        <v>৯৪৬</v>
      </c>
      <c r="H466" s="75" t="s">
        <v>314</v>
      </c>
      <c r="I466" s="75" t="s">
        <v>314</v>
      </c>
      <c r="J466" s="4"/>
    </row>
    <row r="467" spans="1:10" x14ac:dyDescent="0.25">
      <c r="A467" s="39">
        <v>466</v>
      </c>
      <c r="B467" s="3" t="s">
        <v>2047</v>
      </c>
      <c r="C467" s="75" t="s">
        <v>2023</v>
      </c>
      <c r="D467" s="75" t="s">
        <v>297</v>
      </c>
      <c r="E467" s="75" t="str">
        <f t="shared" si="4"/>
        <v>০</v>
      </c>
      <c r="F467" s="22" t="str">
        <f>"8119457816557"</f>
        <v>8119457816557</v>
      </c>
      <c r="G467" s="75" t="str">
        <f>"৯৪৩"</f>
        <v>৯৪৩</v>
      </c>
      <c r="H467" s="75" t="s">
        <v>325</v>
      </c>
      <c r="I467" s="75" t="s">
        <v>325</v>
      </c>
      <c r="J467" s="4"/>
    </row>
    <row r="468" spans="1:10" x14ac:dyDescent="0.25">
      <c r="A468" s="39">
        <v>467</v>
      </c>
      <c r="B468" s="3" t="s">
        <v>2048</v>
      </c>
      <c r="C468" s="75" t="s">
        <v>2023</v>
      </c>
      <c r="D468" s="75" t="s">
        <v>297</v>
      </c>
      <c r="E468" s="75" t="str">
        <f t="shared" si="4"/>
        <v>০</v>
      </c>
      <c r="F468" s="22" t="str">
        <f>"8119457816591"</f>
        <v>8119457816591</v>
      </c>
      <c r="G468" s="75" t="str">
        <f>"৯৪২"</f>
        <v>৯৪২</v>
      </c>
      <c r="H468" s="75" t="s">
        <v>319</v>
      </c>
      <c r="I468" s="75" t="s">
        <v>319</v>
      </c>
      <c r="J468" s="4"/>
    </row>
    <row r="469" spans="1:10" x14ac:dyDescent="0.25">
      <c r="A469" s="39">
        <v>468</v>
      </c>
      <c r="B469" s="3" t="s">
        <v>2050</v>
      </c>
      <c r="C469" s="75" t="s">
        <v>2049</v>
      </c>
      <c r="D469" s="75" t="s">
        <v>297</v>
      </c>
      <c r="E469" s="75" t="str">
        <f t="shared" si="4"/>
        <v>০</v>
      </c>
      <c r="F469" s="22" t="str">
        <f>"8119457816594"</f>
        <v>8119457816594</v>
      </c>
      <c r="G469" s="75" t="str">
        <f>"৯৪১"</f>
        <v>৯৪১</v>
      </c>
      <c r="H469" s="75" t="s">
        <v>326</v>
      </c>
      <c r="I469" s="75" t="s">
        <v>326</v>
      </c>
      <c r="J469" s="4"/>
    </row>
    <row r="470" spans="1:10" x14ac:dyDescent="0.25">
      <c r="A470" s="39">
        <v>469</v>
      </c>
      <c r="B470" s="3" t="s">
        <v>1982</v>
      </c>
      <c r="C470" s="75" t="s">
        <v>1977</v>
      </c>
      <c r="D470" s="75" t="s">
        <v>297</v>
      </c>
      <c r="E470" s="75" t="str">
        <f t="shared" si="4"/>
        <v>০</v>
      </c>
      <c r="F470" s="22" t="str">
        <f>"8119457816696"</f>
        <v>8119457816696</v>
      </c>
      <c r="G470" s="75" t="str">
        <f>"৯৪০"</f>
        <v>৯৪০</v>
      </c>
      <c r="H470" s="75" t="s">
        <v>327</v>
      </c>
      <c r="I470" s="75" t="s">
        <v>327</v>
      </c>
      <c r="J470" s="4"/>
    </row>
    <row r="471" spans="1:10" x14ac:dyDescent="0.25">
      <c r="A471" s="39">
        <v>470</v>
      </c>
      <c r="B471" s="3" t="s">
        <v>2052</v>
      </c>
      <c r="C471" s="75" t="s">
        <v>2051</v>
      </c>
      <c r="D471" s="75" t="s">
        <v>297</v>
      </c>
      <c r="E471" s="75" t="str">
        <f t="shared" si="4"/>
        <v>০</v>
      </c>
      <c r="F471" s="22" t="str">
        <f>"8119457816603"</f>
        <v>8119457816603</v>
      </c>
      <c r="G471" s="75" t="str">
        <f>"৯৩৯"</f>
        <v>৯৩৯</v>
      </c>
      <c r="H471" s="75" t="s">
        <v>328</v>
      </c>
      <c r="I471" s="75" t="s">
        <v>328</v>
      </c>
      <c r="J471" s="4"/>
    </row>
    <row r="472" spans="1:10" x14ac:dyDescent="0.25">
      <c r="A472" s="39">
        <v>471</v>
      </c>
      <c r="B472" s="3" t="s">
        <v>2054</v>
      </c>
      <c r="C472" s="75" t="s">
        <v>2053</v>
      </c>
      <c r="D472" s="75" t="s">
        <v>297</v>
      </c>
      <c r="E472" s="75" t="str">
        <f t="shared" si="4"/>
        <v>০</v>
      </c>
      <c r="F472" s="22" t="str">
        <f>"8119457816804"</f>
        <v>8119457816804</v>
      </c>
      <c r="G472" s="75" t="str">
        <f>"৯৩৮"</f>
        <v>৯৩৮</v>
      </c>
      <c r="H472" s="75" t="s">
        <v>329</v>
      </c>
      <c r="I472" s="75" t="s">
        <v>329</v>
      </c>
      <c r="J472" s="4"/>
    </row>
    <row r="473" spans="1:10" x14ac:dyDescent="0.25">
      <c r="A473" s="39">
        <v>472</v>
      </c>
      <c r="B473" s="3" t="s">
        <v>1997</v>
      </c>
      <c r="C473" s="75" t="s">
        <v>2055</v>
      </c>
      <c r="D473" s="75" t="s">
        <v>297</v>
      </c>
      <c r="E473" s="75" t="str">
        <f t="shared" si="4"/>
        <v>০</v>
      </c>
      <c r="F473" s="22" t="str">
        <f>"8119457816705"</f>
        <v>8119457816705</v>
      </c>
      <c r="G473" s="75" t="str">
        <f>"৯৩৭"</f>
        <v>৯৩৭</v>
      </c>
      <c r="H473" s="75" t="s">
        <v>330</v>
      </c>
      <c r="I473" s="75" t="s">
        <v>330</v>
      </c>
      <c r="J473" s="4"/>
    </row>
    <row r="474" spans="1:10" x14ac:dyDescent="0.25">
      <c r="A474" s="39">
        <v>473</v>
      </c>
      <c r="B474" s="3" t="s">
        <v>2056</v>
      </c>
      <c r="C474" s="75" t="s">
        <v>1563</v>
      </c>
      <c r="D474" s="75" t="s">
        <v>297</v>
      </c>
      <c r="E474" s="75" t="str">
        <f t="shared" si="4"/>
        <v>০</v>
      </c>
      <c r="F474" s="22" t="str">
        <f>"8119457000203"</f>
        <v>8119457000203</v>
      </c>
      <c r="G474" s="75" t="str">
        <f>"৯৩৬"</f>
        <v>৯৩৬</v>
      </c>
      <c r="H474" s="75" t="s">
        <v>319</v>
      </c>
      <c r="I474" s="75" t="s">
        <v>319</v>
      </c>
      <c r="J474" s="4"/>
    </row>
    <row r="475" spans="1:10" x14ac:dyDescent="0.25">
      <c r="A475" s="39">
        <v>474</v>
      </c>
      <c r="B475" s="3" t="s">
        <v>2058</v>
      </c>
      <c r="C475" s="75" t="s">
        <v>2057</v>
      </c>
      <c r="D475" s="75" t="s">
        <v>297</v>
      </c>
      <c r="E475" s="75" t="str">
        <f t="shared" si="4"/>
        <v>০</v>
      </c>
      <c r="F475" s="22" t="str">
        <f>"8119457811529"</f>
        <v>8119457811529</v>
      </c>
      <c r="G475" s="75" t="str">
        <f>"৯৩৫"</f>
        <v>৯৩৫</v>
      </c>
      <c r="H475" s="75" t="s">
        <v>317</v>
      </c>
      <c r="I475" s="75" t="s">
        <v>317</v>
      </c>
      <c r="J475" s="4"/>
    </row>
    <row r="476" spans="1:10" x14ac:dyDescent="0.25">
      <c r="A476" s="39">
        <v>475</v>
      </c>
      <c r="B476" s="3" t="s">
        <v>2022</v>
      </c>
      <c r="C476" s="75" t="s">
        <v>2059</v>
      </c>
      <c r="D476" s="75" t="s">
        <v>297</v>
      </c>
      <c r="E476" s="75" t="str">
        <f t="shared" si="4"/>
        <v>০</v>
      </c>
      <c r="F476" s="22" t="str">
        <f>"8119457816727"</f>
        <v>8119457816727</v>
      </c>
      <c r="G476" s="75" t="str">
        <f>"৯৩৪"</f>
        <v>৯৩৪</v>
      </c>
      <c r="H476" s="75" t="s">
        <v>323</v>
      </c>
      <c r="I476" s="75" t="s">
        <v>323</v>
      </c>
      <c r="J476" s="4"/>
    </row>
    <row r="477" spans="1:10" x14ac:dyDescent="0.25">
      <c r="A477" s="39">
        <v>476</v>
      </c>
      <c r="B477" s="3" t="s">
        <v>2061</v>
      </c>
      <c r="C477" s="75" t="s">
        <v>2060</v>
      </c>
      <c r="D477" s="75" t="s">
        <v>297</v>
      </c>
      <c r="E477" s="75" t="str">
        <f t="shared" si="4"/>
        <v>০</v>
      </c>
      <c r="F477" s="22" t="str">
        <f>"8119457816560"</f>
        <v>8119457816560</v>
      </c>
      <c r="G477" s="75" t="str">
        <f>"৯৩৩"</f>
        <v>৯৩৩</v>
      </c>
      <c r="H477" s="75" t="s">
        <v>326</v>
      </c>
      <c r="I477" s="75" t="s">
        <v>326</v>
      </c>
      <c r="J477" s="4"/>
    </row>
    <row r="478" spans="1:10" x14ac:dyDescent="0.25">
      <c r="A478" s="39">
        <v>477</v>
      </c>
      <c r="B478" s="3" t="s">
        <v>1555</v>
      </c>
      <c r="C478" s="75" t="s">
        <v>2062</v>
      </c>
      <c r="D478" s="75" t="s">
        <v>297</v>
      </c>
      <c r="E478" s="75" t="str">
        <f t="shared" si="4"/>
        <v>০</v>
      </c>
      <c r="F478" s="22" t="str">
        <f>"8119457816798"</f>
        <v>8119457816798</v>
      </c>
      <c r="G478" s="75" t="str">
        <f>"৯৩২"</f>
        <v>৯৩২</v>
      </c>
      <c r="H478" s="75" t="s">
        <v>331</v>
      </c>
      <c r="I478" s="75" t="s">
        <v>331</v>
      </c>
      <c r="J478" s="4"/>
    </row>
    <row r="479" spans="1:10" x14ac:dyDescent="0.25">
      <c r="A479" s="39">
        <v>478</v>
      </c>
      <c r="B479" s="3" t="s">
        <v>2064</v>
      </c>
      <c r="C479" s="75" t="s">
        <v>2063</v>
      </c>
      <c r="D479" s="75" t="s">
        <v>297</v>
      </c>
      <c r="E479" s="75" t="str">
        <f t="shared" si="4"/>
        <v>০</v>
      </c>
      <c r="F479" s="22" t="str">
        <f>"8119457816602"</f>
        <v>8119457816602</v>
      </c>
      <c r="G479" s="75" t="str">
        <f>"৯৩১"</f>
        <v>৯৩১</v>
      </c>
      <c r="H479" s="75" t="s">
        <v>329</v>
      </c>
      <c r="I479" s="75" t="s">
        <v>329</v>
      </c>
      <c r="J479" s="4"/>
    </row>
    <row r="480" spans="1:10" x14ac:dyDescent="0.25">
      <c r="A480" s="39">
        <v>479</v>
      </c>
      <c r="B480" s="3" t="s">
        <v>2066</v>
      </c>
      <c r="C480" s="75" t="s">
        <v>2065</v>
      </c>
      <c r="D480" s="75" t="s">
        <v>297</v>
      </c>
      <c r="E480" s="75" t="str">
        <f t="shared" si="4"/>
        <v>০</v>
      </c>
      <c r="F480" s="22" t="str">
        <f>"8119457816821"</f>
        <v>8119457816821</v>
      </c>
      <c r="G480" s="75" t="str">
        <f>"৯৩০"</f>
        <v>৯৩০</v>
      </c>
      <c r="H480" s="75" t="s">
        <v>332</v>
      </c>
      <c r="I480" s="75" t="s">
        <v>332</v>
      </c>
      <c r="J480" s="4"/>
    </row>
    <row r="481" spans="1:10" x14ac:dyDescent="0.25">
      <c r="A481" s="39">
        <v>480</v>
      </c>
      <c r="B481" s="3" t="s">
        <v>2068</v>
      </c>
      <c r="C481" s="75" t="s">
        <v>2067</v>
      </c>
      <c r="D481" s="75" t="s">
        <v>297</v>
      </c>
      <c r="E481" s="75" t="str">
        <f t="shared" si="4"/>
        <v>০</v>
      </c>
      <c r="F481" s="22" t="str">
        <f>"8119457816822"</f>
        <v>8119457816822</v>
      </c>
      <c r="G481" s="75" t="str">
        <f>"৯২৯"</f>
        <v>৯২৯</v>
      </c>
      <c r="H481" s="75" t="s">
        <v>316</v>
      </c>
      <c r="I481" s="75" t="s">
        <v>316</v>
      </c>
      <c r="J481" s="4"/>
    </row>
    <row r="482" spans="1:10" x14ac:dyDescent="0.25">
      <c r="A482" s="39">
        <v>481</v>
      </c>
      <c r="B482" s="3" t="s">
        <v>1844</v>
      </c>
      <c r="C482" s="75" t="s">
        <v>2069</v>
      </c>
      <c r="D482" s="75" t="s">
        <v>297</v>
      </c>
      <c r="E482" s="75" t="str">
        <f t="shared" si="4"/>
        <v>০</v>
      </c>
      <c r="F482" s="22" t="str">
        <f>"8119457816665"</f>
        <v>8119457816665</v>
      </c>
      <c r="G482" s="75" t="str">
        <f>"৯২৮"</f>
        <v>৯২৮</v>
      </c>
      <c r="H482" s="75" t="s">
        <v>330</v>
      </c>
      <c r="I482" s="75" t="s">
        <v>330</v>
      </c>
      <c r="J482" s="4"/>
    </row>
    <row r="483" spans="1:10" x14ac:dyDescent="0.25">
      <c r="A483" s="39">
        <v>482</v>
      </c>
      <c r="B483" s="3" t="s">
        <v>2071</v>
      </c>
      <c r="C483" s="75" t="s">
        <v>2070</v>
      </c>
      <c r="D483" s="75" t="s">
        <v>297</v>
      </c>
      <c r="E483" s="75" t="str">
        <f t="shared" si="4"/>
        <v>০</v>
      </c>
      <c r="F483" s="22" t="str">
        <f>"8119457816609"</f>
        <v>8119457816609</v>
      </c>
      <c r="G483" s="75" t="str">
        <f>"৯২৭"</f>
        <v>৯২৭</v>
      </c>
      <c r="H483" s="75" t="s">
        <v>333</v>
      </c>
      <c r="I483" s="75" t="s">
        <v>333</v>
      </c>
      <c r="J483" s="4"/>
    </row>
    <row r="484" spans="1:10" x14ac:dyDescent="0.25">
      <c r="A484" s="39">
        <v>483</v>
      </c>
      <c r="B484" s="3" t="s">
        <v>2073</v>
      </c>
      <c r="C484" s="75" t="s">
        <v>2072</v>
      </c>
      <c r="D484" s="75" t="s">
        <v>297</v>
      </c>
      <c r="E484" s="75" t="str">
        <f t="shared" si="4"/>
        <v>০</v>
      </c>
      <c r="F484" s="22" t="str">
        <f>"8119457816837"</f>
        <v>8119457816837</v>
      </c>
      <c r="G484" s="75" t="str">
        <f>"৯২৬"</f>
        <v>৯২৬</v>
      </c>
      <c r="H484" s="75" t="s">
        <v>319</v>
      </c>
      <c r="I484" s="75" t="s">
        <v>319</v>
      </c>
      <c r="J484" s="4"/>
    </row>
    <row r="485" spans="1:10" x14ac:dyDescent="0.25">
      <c r="A485" s="39">
        <v>484</v>
      </c>
      <c r="B485" s="3" t="s">
        <v>2075</v>
      </c>
      <c r="C485" s="75" t="s">
        <v>2074</v>
      </c>
      <c r="D485" s="75" t="s">
        <v>297</v>
      </c>
      <c r="E485" s="75" t="str">
        <f t="shared" si="4"/>
        <v>০</v>
      </c>
      <c r="F485" s="22" t="str">
        <f>"8119457817588"</f>
        <v>8119457817588</v>
      </c>
      <c r="G485" s="75" t="str">
        <f>"৯২৫"</f>
        <v>৯২৫</v>
      </c>
      <c r="H485" s="75" t="s">
        <v>322</v>
      </c>
      <c r="I485" s="75" t="s">
        <v>322</v>
      </c>
      <c r="J485" s="4"/>
    </row>
    <row r="486" spans="1:10" x14ac:dyDescent="0.25">
      <c r="A486" s="39">
        <v>485</v>
      </c>
      <c r="B486" s="3" t="s">
        <v>2077</v>
      </c>
      <c r="C486" s="75" t="s">
        <v>2076</v>
      </c>
      <c r="D486" s="75" t="s">
        <v>297</v>
      </c>
      <c r="E486" s="75" t="str">
        <f t="shared" si="4"/>
        <v>০</v>
      </c>
      <c r="F486" s="22" t="str">
        <f>"8119457816745"</f>
        <v>8119457816745</v>
      </c>
      <c r="G486" s="75" t="str">
        <f>"৯২৪"</f>
        <v>৯২৪</v>
      </c>
      <c r="H486" s="75" t="s">
        <v>319</v>
      </c>
      <c r="I486" s="75" t="s">
        <v>319</v>
      </c>
      <c r="J486" s="4"/>
    </row>
    <row r="487" spans="1:10" x14ac:dyDescent="0.25">
      <c r="A487" s="39">
        <v>486</v>
      </c>
      <c r="B487" s="3" t="s">
        <v>2079</v>
      </c>
      <c r="C487" s="75" t="s">
        <v>2078</v>
      </c>
      <c r="D487" s="75" t="s">
        <v>297</v>
      </c>
      <c r="E487" s="75" t="str">
        <f t="shared" si="4"/>
        <v>০</v>
      </c>
      <c r="F487" s="22" t="str">
        <f>"8119457816838"</f>
        <v>8119457816838</v>
      </c>
      <c r="G487" s="75" t="str">
        <f>"৯২৩"</f>
        <v>৯২৩</v>
      </c>
      <c r="H487" s="75" t="s">
        <v>315</v>
      </c>
      <c r="I487" s="75" t="s">
        <v>315</v>
      </c>
      <c r="J487" s="4"/>
    </row>
    <row r="488" spans="1:10" x14ac:dyDescent="0.25">
      <c r="A488" s="39">
        <v>487</v>
      </c>
      <c r="B488" s="3" t="s">
        <v>2081</v>
      </c>
      <c r="C488" s="75" t="s">
        <v>2080</v>
      </c>
      <c r="D488" s="75" t="s">
        <v>297</v>
      </c>
      <c r="E488" s="75" t="str">
        <f t="shared" si="4"/>
        <v>০</v>
      </c>
      <c r="F488" s="22" t="str">
        <f>"8119457811531"</f>
        <v>8119457811531</v>
      </c>
      <c r="G488" s="75" t="str">
        <f>"৯২২"</f>
        <v>৯২২</v>
      </c>
      <c r="H488" s="75" t="s">
        <v>316</v>
      </c>
      <c r="I488" s="75" t="s">
        <v>316</v>
      </c>
      <c r="J488" s="4"/>
    </row>
    <row r="489" spans="1:10" x14ac:dyDescent="0.25">
      <c r="A489" s="39">
        <v>488</v>
      </c>
      <c r="B489" s="3" t="s">
        <v>2083</v>
      </c>
      <c r="C489" s="75" t="s">
        <v>2082</v>
      </c>
      <c r="D489" s="75" t="s">
        <v>297</v>
      </c>
      <c r="E489" s="75" t="str">
        <f t="shared" si="4"/>
        <v>০</v>
      </c>
      <c r="F489" s="22" t="str">
        <f>"8119457000202"</f>
        <v>8119457000202</v>
      </c>
      <c r="G489" s="75" t="str">
        <f>"৯২১"</f>
        <v>৯২১</v>
      </c>
      <c r="H489" s="75" t="s">
        <v>317</v>
      </c>
      <c r="I489" s="75" t="s">
        <v>317</v>
      </c>
      <c r="J489" s="4"/>
    </row>
    <row r="490" spans="1:10" x14ac:dyDescent="0.25">
      <c r="A490" s="39">
        <v>489</v>
      </c>
      <c r="B490" s="3" t="s">
        <v>2085</v>
      </c>
      <c r="C490" s="75" t="s">
        <v>2084</v>
      </c>
      <c r="D490" s="75" t="s">
        <v>297</v>
      </c>
      <c r="E490" s="75" t="str">
        <f t="shared" si="4"/>
        <v>০</v>
      </c>
      <c r="F490" s="22" t="str">
        <f>"8119457816553"</f>
        <v>8119457816553</v>
      </c>
      <c r="G490" s="75" t="str">
        <f>"৯২০"</f>
        <v>৯২০</v>
      </c>
      <c r="H490" s="75" t="s">
        <v>318</v>
      </c>
      <c r="I490" s="75" t="s">
        <v>318</v>
      </c>
      <c r="J490" s="4"/>
    </row>
    <row r="491" spans="1:10" x14ac:dyDescent="0.25">
      <c r="A491" s="39">
        <v>490</v>
      </c>
      <c r="B491" s="3" t="s">
        <v>2087</v>
      </c>
      <c r="C491" s="75" t="s">
        <v>2086</v>
      </c>
      <c r="D491" s="75" t="s">
        <v>297</v>
      </c>
      <c r="E491" s="75" t="str">
        <f t="shared" si="4"/>
        <v>০</v>
      </c>
      <c r="F491" s="22" t="str">
        <f>"8119457816801"</f>
        <v>8119457816801</v>
      </c>
      <c r="G491" s="75" t="str">
        <f>"৯১৯"</f>
        <v>৯১৯</v>
      </c>
      <c r="H491" s="75" t="s">
        <v>319</v>
      </c>
      <c r="I491" s="75" t="s">
        <v>319</v>
      </c>
      <c r="J491" s="4"/>
    </row>
    <row r="492" spans="1:10" x14ac:dyDescent="0.25">
      <c r="A492" s="39">
        <v>491</v>
      </c>
      <c r="B492" s="3" t="s">
        <v>2088</v>
      </c>
      <c r="C492" s="75" t="s">
        <v>2080</v>
      </c>
      <c r="D492" s="75" t="s">
        <v>297</v>
      </c>
      <c r="E492" s="75" t="str">
        <f t="shared" si="4"/>
        <v>০</v>
      </c>
      <c r="F492" s="22" t="str">
        <f>"8119457816557"</f>
        <v>8119457816557</v>
      </c>
      <c r="G492" s="75" t="str">
        <f>"৯১৮"</f>
        <v>৯১৮</v>
      </c>
      <c r="H492" s="75" t="s">
        <v>320</v>
      </c>
      <c r="I492" s="75" t="s">
        <v>320</v>
      </c>
      <c r="J492" s="4"/>
    </row>
    <row r="493" spans="1:10" x14ac:dyDescent="0.25">
      <c r="A493" s="39">
        <v>492</v>
      </c>
      <c r="B493" s="3" t="s">
        <v>2090</v>
      </c>
      <c r="C493" s="75" t="s">
        <v>2089</v>
      </c>
      <c r="D493" s="75" t="s">
        <v>297</v>
      </c>
      <c r="E493" s="75" t="str">
        <f t="shared" si="4"/>
        <v>০</v>
      </c>
      <c r="F493" s="22" t="str">
        <f>"8119457816591"</f>
        <v>8119457816591</v>
      </c>
      <c r="G493" s="75" t="str">
        <f>"৯১৭"</f>
        <v>৯১৭</v>
      </c>
      <c r="H493" s="75" t="s">
        <v>315</v>
      </c>
      <c r="I493" s="75" t="s">
        <v>315</v>
      </c>
      <c r="J493" s="4"/>
    </row>
    <row r="494" spans="1:10" x14ac:dyDescent="0.25">
      <c r="A494" s="39">
        <v>493</v>
      </c>
      <c r="B494" s="3" t="s">
        <v>2091</v>
      </c>
      <c r="C494" s="75" t="s">
        <v>1539</v>
      </c>
      <c r="D494" s="75" t="s">
        <v>297</v>
      </c>
      <c r="E494" s="75" t="str">
        <f t="shared" si="4"/>
        <v>০</v>
      </c>
      <c r="F494" s="22" t="str">
        <f>"8119457816594"</f>
        <v>8119457816594</v>
      </c>
      <c r="G494" s="75" t="str">
        <f>"৯১৬"</f>
        <v>৯১৬</v>
      </c>
      <c r="H494" s="75" t="s">
        <v>313</v>
      </c>
      <c r="I494" s="75" t="s">
        <v>313</v>
      </c>
      <c r="J494" s="4"/>
    </row>
    <row r="495" spans="1:10" x14ac:dyDescent="0.25">
      <c r="A495" s="39">
        <v>494</v>
      </c>
      <c r="B495" s="3" t="s">
        <v>2093</v>
      </c>
      <c r="C495" s="75" t="s">
        <v>2092</v>
      </c>
      <c r="D495" s="75" t="s">
        <v>297</v>
      </c>
      <c r="E495" s="75" t="str">
        <f t="shared" si="4"/>
        <v>০</v>
      </c>
      <c r="F495" s="22" t="str">
        <f>"8119457816696"</f>
        <v>8119457816696</v>
      </c>
      <c r="G495" s="75" t="str">
        <f>"৯১৫"</f>
        <v>৯১৫</v>
      </c>
      <c r="H495" s="75" t="s">
        <v>314</v>
      </c>
      <c r="I495" s="75" t="s">
        <v>314</v>
      </c>
      <c r="J495" s="4"/>
    </row>
    <row r="496" spans="1:10" x14ac:dyDescent="0.25">
      <c r="A496" s="39">
        <v>495</v>
      </c>
      <c r="B496" s="3" t="s">
        <v>2095</v>
      </c>
      <c r="C496" s="75" t="s">
        <v>2094</v>
      </c>
      <c r="D496" s="75" t="s">
        <v>297</v>
      </c>
      <c r="E496" s="75" t="str">
        <f t="shared" si="4"/>
        <v>০</v>
      </c>
      <c r="F496" s="22" t="str">
        <f>"8119457816603"</f>
        <v>8119457816603</v>
      </c>
      <c r="G496" s="75" t="str">
        <f>"৯১৪"</f>
        <v>৯১৪</v>
      </c>
      <c r="H496" s="75" t="s">
        <v>321</v>
      </c>
      <c r="I496" s="75" t="s">
        <v>321</v>
      </c>
      <c r="J496" s="4"/>
    </row>
    <row r="497" spans="1:10" x14ac:dyDescent="0.25">
      <c r="A497" s="39">
        <v>496</v>
      </c>
      <c r="B497" s="3" t="s">
        <v>1545</v>
      </c>
      <c r="C497" s="75" t="s">
        <v>2096</v>
      </c>
      <c r="D497" s="75" t="s">
        <v>297</v>
      </c>
      <c r="E497" s="75" t="str">
        <f t="shared" si="4"/>
        <v>০</v>
      </c>
      <c r="F497" s="22" t="str">
        <f>"8119457816804"</f>
        <v>8119457816804</v>
      </c>
      <c r="G497" s="75" t="str">
        <f>"৯১৩"</f>
        <v>৯১৩</v>
      </c>
      <c r="H497" s="75" t="s">
        <v>322</v>
      </c>
      <c r="I497" s="75" t="s">
        <v>322</v>
      </c>
      <c r="J497" s="4"/>
    </row>
    <row r="498" spans="1:10" x14ac:dyDescent="0.25">
      <c r="A498" s="39">
        <v>497</v>
      </c>
      <c r="B498" s="3" t="s">
        <v>2097</v>
      </c>
      <c r="C498" s="75" t="s">
        <v>1672</v>
      </c>
      <c r="D498" s="75" t="s">
        <v>297</v>
      </c>
      <c r="E498" s="75" t="str">
        <f t="shared" si="4"/>
        <v>০</v>
      </c>
      <c r="F498" s="22" t="str">
        <f>"8119457816705"</f>
        <v>8119457816705</v>
      </c>
      <c r="G498" s="75" t="str">
        <f>"৯১২"</f>
        <v>৯১২</v>
      </c>
      <c r="H498" s="75" t="s">
        <v>314</v>
      </c>
      <c r="I498" s="75" t="s">
        <v>314</v>
      </c>
      <c r="J498" s="4"/>
    </row>
    <row r="499" spans="1:10" x14ac:dyDescent="0.25">
      <c r="A499" s="39">
        <v>498</v>
      </c>
      <c r="B499" s="3" t="s">
        <v>2099</v>
      </c>
      <c r="C499" s="75" t="s">
        <v>2098</v>
      </c>
      <c r="D499" s="75" t="s">
        <v>297</v>
      </c>
      <c r="E499" s="75" t="str">
        <f t="shared" si="4"/>
        <v>০</v>
      </c>
      <c r="F499" s="22" t="str">
        <f>"8119457000203"</f>
        <v>8119457000203</v>
      </c>
      <c r="G499" s="75" t="str">
        <f>"৯১১"</f>
        <v>৯১১</v>
      </c>
      <c r="H499" s="75" t="s">
        <v>323</v>
      </c>
      <c r="I499" s="75" t="s">
        <v>323</v>
      </c>
      <c r="J499" s="4"/>
    </row>
    <row r="500" spans="1:10" x14ac:dyDescent="0.25">
      <c r="A500" s="39">
        <v>499</v>
      </c>
      <c r="B500" s="3" t="s">
        <v>2101</v>
      </c>
      <c r="C500" s="75" t="s">
        <v>2100</v>
      </c>
      <c r="D500" s="75" t="s">
        <v>297</v>
      </c>
      <c r="E500" s="75" t="str">
        <f t="shared" si="4"/>
        <v>০</v>
      </c>
      <c r="F500" s="22" t="str">
        <f>"8119457811529"</f>
        <v>8119457811529</v>
      </c>
      <c r="G500" s="75" t="str">
        <f>"৯১০"</f>
        <v>৯১০</v>
      </c>
      <c r="H500" s="75" t="s">
        <v>324</v>
      </c>
      <c r="I500" s="75" t="s">
        <v>324</v>
      </c>
      <c r="J500" s="4"/>
    </row>
    <row r="501" spans="1:10" x14ac:dyDescent="0.25">
      <c r="A501" s="39">
        <v>500</v>
      </c>
      <c r="B501" s="3" t="s">
        <v>2046</v>
      </c>
      <c r="C501" s="75" t="s">
        <v>1677</v>
      </c>
      <c r="D501" s="75" t="s">
        <v>297</v>
      </c>
      <c r="E501" s="75" t="str">
        <f t="shared" si="4"/>
        <v>০</v>
      </c>
      <c r="F501" s="22" t="str">
        <f>"8119457816727"</f>
        <v>8119457816727</v>
      </c>
      <c r="G501" s="75" t="str">
        <f>"৯০৯"</f>
        <v>৯০৯</v>
      </c>
      <c r="H501" s="75" t="s">
        <v>325</v>
      </c>
      <c r="I501" s="75" t="s">
        <v>325</v>
      </c>
      <c r="J501" s="4"/>
    </row>
    <row r="502" spans="1:10" x14ac:dyDescent="0.25">
      <c r="A502" s="39">
        <v>501</v>
      </c>
      <c r="B502" s="3" t="s">
        <v>2102</v>
      </c>
      <c r="C502" s="75" t="s">
        <v>1871</v>
      </c>
      <c r="D502" s="75" t="s">
        <v>297</v>
      </c>
      <c r="E502" s="75" t="str">
        <f t="shared" si="4"/>
        <v>০</v>
      </c>
      <c r="F502" s="22" t="str">
        <f>"8119457816560"</f>
        <v>8119457816560</v>
      </c>
      <c r="G502" s="75" t="str">
        <f>"৯০৮"</f>
        <v>৯০৮</v>
      </c>
      <c r="H502" s="75" t="s">
        <v>319</v>
      </c>
      <c r="I502" s="75" t="s">
        <v>319</v>
      </c>
      <c r="J502" s="4"/>
    </row>
    <row r="503" spans="1:10" x14ac:dyDescent="0.25">
      <c r="A503" s="39">
        <v>502</v>
      </c>
      <c r="B503" s="3" t="s">
        <v>2047</v>
      </c>
      <c r="C503" s="75" t="s">
        <v>2103</v>
      </c>
      <c r="D503" s="75" t="s">
        <v>297</v>
      </c>
      <c r="E503" s="75" t="str">
        <f t="shared" si="4"/>
        <v>০</v>
      </c>
      <c r="F503" s="22" t="str">
        <f>"8119457816798"</f>
        <v>8119457816798</v>
      </c>
      <c r="G503" s="75" t="str">
        <f>"৯০৭"</f>
        <v>৯০৭</v>
      </c>
      <c r="H503" s="75" t="s">
        <v>326</v>
      </c>
      <c r="I503" s="75" t="s">
        <v>326</v>
      </c>
      <c r="J503" s="4"/>
    </row>
    <row r="504" spans="1:10" x14ac:dyDescent="0.25">
      <c r="A504" s="39">
        <v>503</v>
      </c>
      <c r="B504" s="3" t="s">
        <v>2105</v>
      </c>
      <c r="C504" s="75" t="s">
        <v>2104</v>
      </c>
      <c r="D504" s="75" t="s">
        <v>297</v>
      </c>
      <c r="E504" s="75" t="str">
        <f t="shared" si="4"/>
        <v>০</v>
      </c>
      <c r="F504" s="22" t="str">
        <f>"8119457816602"</f>
        <v>8119457816602</v>
      </c>
      <c r="G504" s="75" t="str">
        <f>"৯০৬"</f>
        <v>৯০৬</v>
      </c>
      <c r="H504" s="75" t="s">
        <v>327</v>
      </c>
      <c r="I504" s="75" t="s">
        <v>327</v>
      </c>
      <c r="J504" s="4"/>
    </row>
    <row r="505" spans="1:10" x14ac:dyDescent="0.25">
      <c r="A505" s="39">
        <v>504</v>
      </c>
      <c r="B505" s="3" t="s">
        <v>2107</v>
      </c>
      <c r="C505" s="75" t="s">
        <v>2106</v>
      </c>
      <c r="D505" s="75" t="s">
        <v>297</v>
      </c>
      <c r="E505" s="75" t="str">
        <f t="shared" si="4"/>
        <v>০</v>
      </c>
      <c r="F505" s="22" t="str">
        <f>"8119457816821"</f>
        <v>8119457816821</v>
      </c>
      <c r="G505" s="75" t="str">
        <f>"৯০৫"</f>
        <v>৯০৫</v>
      </c>
      <c r="H505" s="75" t="s">
        <v>328</v>
      </c>
      <c r="I505" s="75" t="s">
        <v>328</v>
      </c>
      <c r="J505" s="4"/>
    </row>
    <row r="506" spans="1:10" x14ac:dyDescent="0.25">
      <c r="A506" s="39">
        <v>505</v>
      </c>
      <c r="B506" s="3" t="s">
        <v>2108</v>
      </c>
      <c r="C506" s="75" t="s">
        <v>2089</v>
      </c>
      <c r="D506" s="75" t="s">
        <v>297</v>
      </c>
      <c r="E506" s="75" t="str">
        <f t="shared" si="4"/>
        <v>০</v>
      </c>
      <c r="F506" s="22" t="str">
        <f>"8119457816822"</f>
        <v>8119457816822</v>
      </c>
      <c r="G506" s="75" t="str">
        <f>"৯০৪"</f>
        <v>৯০৪</v>
      </c>
      <c r="H506" s="75" t="s">
        <v>329</v>
      </c>
      <c r="I506" s="75" t="s">
        <v>329</v>
      </c>
      <c r="J506" s="4"/>
    </row>
    <row r="507" spans="1:10" x14ac:dyDescent="0.25">
      <c r="A507" s="39">
        <v>506</v>
      </c>
      <c r="B507" s="3" t="s">
        <v>2110</v>
      </c>
      <c r="C507" s="75" t="s">
        <v>2109</v>
      </c>
      <c r="D507" s="75" t="s">
        <v>297</v>
      </c>
      <c r="E507" s="75" t="str">
        <f t="shared" si="4"/>
        <v>০</v>
      </c>
      <c r="F507" s="22" t="str">
        <f>"8119457816665"</f>
        <v>8119457816665</v>
      </c>
      <c r="G507" s="75" t="str">
        <f>"৯০৩"</f>
        <v>৯০৩</v>
      </c>
      <c r="H507" s="75" t="s">
        <v>330</v>
      </c>
      <c r="I507" s="75" t="s">
        <v>330</v>
      </c>
      <c r="J507" s="4"/>
    </row>
    <row r="508" spans="1:10" x14ac:dyDescent="0.25">
      <c r="A508" s="39">
        <v>507</v>
      </c>
      <c r="B508" s="3" t="s">
        <v>2112</v>
      </c>
      <c r="C508" s="75" t="s">
        <v>2111</v>
      </c>
      <c r="D508" s="75" t="s">
        <v>297</v>
      </c>
      <c r="E508" s="75" t="str">
        <f t="shared" si="4"/>
        <v>০</v>
      </c>
      <c r="F508" s="22" t="str">
        <f>"8119457816609"</f>
        <v>8119457816609</v>
      </c>
      <c r="G508" s="75" t="str">
        <f>"৯০২"</f>
        <v>৯০২</v>
      </c>
      <c r="H508" s="75" t="s">
        <v>319</v>
      </c>
      <c r="I508" s="75" t="s">
        <v>319</v>
      </c>
      <c r="J508" s="4"/>
    </row>
    <row r="509" spans="1:10" x14ac:dyDescent="0.25">
      <c r="A509" s="39">
        <v>508</v>
      </c>
      <c r="B509" s="3" t="s">
        <v>1735</v>
      </c>
      <c r="C509" s="75" t="s">
        <v>2113</v>
      </c>
      <c r="D509" s="75" t="s">
        <v>297</v>
      </c>
      <c r="E509" s="75" t="str">
        <f t="shared" si="4"/>
        <v>০</v>
      </c>
      <c r="F509" s="22" t="str">
        <f>"8119457816837"</f>
        <v>8119457816837</v>
      </c>
      <c r="G509" s="75" t="str">
        <f>"৯০১"</f>
        <v>৯০১</v>
      </c>
      <c r="H509" s="75" t="s">
        <v>317</v>
      </c>
      <c r="I509" s="75" t="s">
        <v>317</v>
      </c>
      <c r="J509" s="4"/>
    </row>
    <row r="510" spans="1:10" x14ac:dyDescent="0.25">
      <c r="A510" s="39">
        <v>509</v>
      </c>
      <c r="B510" s="3" t="s">
        <v>2115</v>
      </c>
      <c r="C510" s="75" t="s">
        <v>2114</v>
      </c>
      <c r="D510" s="75" t="s">
        <v>297</v>
      </c>
      <c r="E510" s="75" t="str">
        <f t="shared" si="4"/>
        <v>০</v>
      </c>
      <c r="F510" s="22" t="str">
        <f>"8119457817588"</f>
        <v>8119457817588</v>
      </c>
      <c r="G510" s="75" t="str">
        <f>"৯০০"</f>
        <v>৯০০</v>
      </c>
      <c r="H510" s="75" t="s">
        <v>323</v>
      </c>
      <c r="I510" s="75" t="s">
        <v>323</v>
      </c>
      <c r="J510" s="4"/>
    </row>
    <row r="511" spans="1:10" x14ac:dyDescent="0.25">
      <c r="A511" s="39">
        <v>510</v>
      </c>
      <c r="B511" s="3" t="s">
        <v>2116</v>
      </c>
      <c r="C511" s="75" t="s">
        <v>1631</v>
      </c>
      <c r="D511" s="75" t="s">
        <v>297</v>
      </c>
      <c r="E511" s="75" t="str">
        <f t="shared" si="4"/>
        <v>০</v>
      </c>
      <c r="F511" s="22" t="str">
        <f>"8119457816745"</f>
        <v>8119457816745</v>
      </c>
      <c r="G511" s="75" t="str">
        <f>"৮৯৯"</f>
        <v>৮৯৯</v>
      </c>
      <c r="H511" s="75" t="s">
        <v>326</v>
      </c>
      <c r="I511" s="75" t="s">
        <v>326</v>
      </c>
      <c r="J511" s="4"/>
    </row>
    <row r="512" spans="1:10" x14ac:dyDescent="0.25">
      <c r="A512" s="39">
        <v>511</v>
      </c>
      <c r="B512" s="3" t="s">
        <v>2118</v>
      </c>
      <c r="C512" s="75" t="s">
        <v>2117</v>
      </c>
      <c r="D512" s="75" t="s">
        <v>297</v>
      </c>
      <c r="E512" s="75" t="str">
        <f t="shared" si="4"/>
        <v>০</v>
      </c>
      <c r="F512" s="22" t="str">
        <f>"8119457816838"</f>
        <v>8119457816838</v>
      </c>
      <c r="G512" s="75" t="str">
        <f>"৮৯৮"</f>
        <v>৮৯৮</v>
      </c>
      <c r="H512" s="75" t="s">
        <v>331</v>
      </c>
      <c r="I512" s="75" t="s">
        <v>331</v>
      </c>
      <c r="J512" s="4"/>
    </row>
    <row r="513" spans="1:10" x14ac:dyDescent="0.25">
      <c r="A513" s="39">
        <v>512</v>
      </c>
      <c r="B513" s="3" t="s">
        <v>2119</v>
      </c>
      <c r="C513" s="75" t="s">
        <v>1535</v>
      </c>
      <c r="D513" s="75" t="s">
        <v>297</v>
      </c>
      <c r="E513" s="75" t="str">
        <f t="shared" si="4"/>
        <v>০</v>
      </c>
      <c r="F513" s="22" t="str">
        <f>"8119457811531"</f>
        <v>8119457811531</v>
      </c>
      <c r="G513" s="75" t="str">
        <f>"৮৯৭"</f>
        <v>৮৯৭</v>
      </c>
      <c r="H513" s="75" t="s">
        <v>329</v>
      </c>
      <c r="I513" s="75" t="s">
        <v>329</v>
      </c>
      <c r="J513" s="4"/>
    </row>
    <row r="514" spans="1:10" x14ac:dyDescent="0.25">
      <c r="A514" s="39">
        <v>513</v>
      </c>
      <c r="B514" s="3" t="s">
        <v>1705</v>
      </c>
      <c r="C514" s="75" t="s">
        <v>2120</v>
      </c>
      <c r="D514" s="75" t="s">
        <v>297</v>
      </c>
      <c r="E514" s="75" t="str">
        <f t="shared" si="4"/>
        <v>০</v>
      </c>
      <c r="F514" s="22" t="str">
        <f>"8119457000202"</f>
        <v>8119457000202</v>
      </c>
      <c r="G514" s="75" t="str">
        <f>"৮৯৬"</f>
        <v>৮৯৬</v>
      </c>
      <c r="H514" s="75" t="s">
        <v>332</v>
      </c>
      <c r="I514" s="75" t="s">
        <v>332</v>
      </c>
      <c r="J514" s="4"/>
    </row>
    <row r="515" spans="1:10" x14ac:dyDescent="0.25">
      <c r="A515" s="39">
        <v>514</v>
      </c>
      <c r="B515" s="3" t="s">
        <v>1687</v>
      </c>
      <c r="C515" s="75" t="s">
        <v>2121</v>
      </c>
      <c r="D515" s="75" t="s">
        <v>297</v>
      </c>
      <c r="E515" s="75" t="str">
        <f t="shared" si="4"/>
        <v>০</v>
      </c>
      <c r="F515" s="22" t="str">
        <f>"8119457816553"</f>
        <v>8119457816553</v>
      </c>
      <c r="G515" s="75" t="str">
        <f>"৮৯৫"</f>
        <v>৮৯৫</v>
      </c>
      <c r="H515" s="75" t="s">
        <v>316</v>
      </c>
      <c r="I515" s="75" t="s">
        <v>316</v>
      </c>
      <c r="J515" s="4"/>
    </row>
    <row r="516" spans="1:10" x14ac:dyDescent="0.25">
      <c r="A516" s="39">
        <v>515</v>
      </c>
      <c r="B516" s="3" t="s">
        <v>2122</v>
      </c>
      <c r="C516" s="75" t="s">
        <v>2037</v>
      </c>
      <c r="D516" s="75" t="s">
        <v>297</v>
      </c>
      <c r="E516" s="75" t="str">
        <f t="shared" si="4"/>
        <v>০</v>
      </c>
      <c r="F516" s="22" t="str">
        <f>"8119457816801"</f>
        <v>8119457816801</v>
      </c>
      <c r="G516" s="75" t="str">
        <f>"৮৯৪"</f>
        <v>৮৯৪</v>
      </c>
      <c r="H516" s="75" t="s">
        <v>330</v>
      </c>
      <c r="I516" s="75" t="s">
        <v>330</v>
      </c>
      <c r="J516" s="4"/>
    </row>
    <row r="517" spans="1:10" x14ac:dyDescent="0.25">
      <c r="A517" s="39">
        <v>516</v>
      </c>
      <c r="B517" s="3" t="s">
        <v>2124</v>
      </c>
      <c r="C517" s="75" t="s">
        <v>2123</v>
      </c>
      <c r="D517" s="75" t="s">
        <v>297</v>
      </c>
      <c r="E517" s="75" t="str">
        <f t="shared" si="4"/>
        <v>০</v>
      </c>
      <c r="F517" s="22" t="str">
        <f>"8119457815534"</f>
        <v>8119457815534</v>
      </c>
      <c r="G517" s="75" t="str">
        <f>"৮৯৩"</f>
        <v>৮৯৩</v>
      </c>
      <c r="H517" s="75" t="s">
        <v>333</v>
      </c>
      <c r="I517" s="75" t="s">
        <v>333</v>
      </c>
      <c r="J517" s="4"/>
    </row>
    <row r="518" spans="1:10" x14ac:dyDescent="0.25">
      <c r="A518" s="39">
        <v>517</v>
      </c>
      <c r="B518" s="3" t="s">
        <v>1697</v>
      </c>
      <c r="C518" s="75" t="s">
        <v>2098</v>
      </c>
      <c r="D518" s="75" t="s">
        <v>297</v>
      </c>
      <c r="E518" s="75" t="str">
        <f t="shared" ref="E518:E579" si="5">"০"</f>
        <v>০</v>
      </c>
      <c r="F518" s="22" t="str">
        <f>"8119457815532"</f>
        <v>8119457815532</v>
      </c>
      <c r="G518" s="75" t="str">
        <f>"৮৯২"</f>
        <v>৮৯২</v>
      </c>
      <c r="H518" s="75" t="s">
        <v>319</v>
      </c>
      <c r="I518" s="75" t="s">
        <v>319</v>
      </c>
      <c r="J518" s="4"/>
    </row>
    <row r="519" spans="1:10" x14ac:dyDescent="0.25">
      <c r="A519" s="39">
        <v>518</v>
      </c>
      <c r="B519" s="3" t="s">
        <v>2126</v>
      </c>
      <c r="C519" s="75" t="s">
        <v>2125</v>
      </c>
      <c r="D519" s="75" t="s">
        <v>297</v>
      </c>
      <c r="E519" s="75" t="str">
        <f t="shared" si="5"/>
        <v>০</v>
      </c>
      <c r="F519" s="22" t="str">
        <f>"8119457815464"</f>
        <v>8119457815464</v>
      </c>
      <c r="G519" s="75" t="str">
        <f>"৮৯১"</f>
        <v>৮৯১</v>
      </c>
      <c r="H519" s="75" t="s">
        <v>322</v>
      </c>
      <c r="I519" s="75" t="s">
        <v>322</v>
      </c>
      <c r="J519" s="4"/>
    </row>
    <row r="520" spans="1:10" x14ac:dyDescent="0.25">
      <c r="A520" s="39">
        <v>519</v>
      </c>
      <c r="B520" s="3" t="s">
        <v>2128</v>
      </c>
      <c r="C520" s="75" t="s">
        <v>2127</v>
      </c>
      <c r="D520" s="75" t="s">
        <v>297</v>
      </c>
      <c r="E520" s="75" t="str">
        <f t="shared" si="5"/>
        <v>০</v>
      </c>
      <c r="F520" s="22" t="str">
        <f>"8119457815073"</f>
        <v>8119457815073</v>
      </c>
      <c r="G520" s="75" t="str">
        <f>"৮৯০"</f>
        <v>৮৯০</v>
      </c>
      <c r="H520" s="75" t="s">
        <v>319</v>
      </c>
      <c r="I520" s="75" t="s">
        <v>319</v>
      </c>
      <c r="J520" s="4"/>
    </row>
    <row r="521" spans="1:10" x14ac:dyDescent="0.25">
      <c r="A521" s="39">
        <v>520</v>
      </c>
      <c r="B521" s="3" t="s">
        <v>2129</v>
      </c>
      <c r="C521" s="75" t="s">
        <v>2098</v>
      </c>
      <c r="D521" s="75" t="s">
        <v>297</v>
      </c>
      <c r="E521" s="75" t="str">
        <f t="shared" si="5"/>
        <v>০</v>
      </c>
      <c r="F521" s="22" t="str">
        <f>"8119457815376"</f>
        <v>8119457815376</v>
      </c>
      <c r="G521" s="75" t="str">
        <f>"৮৮৯"</f>
        <v>৮৮৯</v>
      </c>
      <c r="H521" s="75" t="s">
        <v>315</v>
      </c>
      <c r="I521" s="75" t="s">
        <v>315</v>
      </c>
      <c r="J521" s="4"/>
    </row>
    <row r="522" spans="1:10" x14ac:dyDescent="0.25">
      <c r="A522" s="39">
        <v>521</v>
      </c>
      <c r="B522" s="3" t="s">
        <v>2131</v>
      </c>
      <c r="C522" s="75" t="s">
        <v>2130</v>
      </c>
      <c r="D522" s="75" t="s">
        <v>297</v>
      </c>
      <c r="E522" s="75" t="str">
        <f t="shared" si="5"/>
        <v>০</v>
      </c>
      <c r="F522" s="22" t="str">
        <f>"8119457815407"</f>
        <v>8119457815407</v>
      </c>
      <c r="G522" s="75" t="str">
        <f>"৮৮৮"</f>
        <v>৮৮৮</v>
      </c>
      <c r="H522" s="75" t="s">
        <v>316</v>
      </c>
      <c r="I522" s="75" t="s">
        <v>316</v>
      </c>
      <c r="J522" s="4"/>
    </row>
    <row r="523" spans="1:10" x14ac:dyDescent="0.25">
      <c r="A523" s="39">
        <v>522</v>
      </c>
      <c r="B523" s="3" t="s">
        <v>2133</v>
      </c>
      <c r="C523" s="75" t="s">
        <v>2132</v>
      </c>
      <c r="D523" s="75" t="s">
        <v>297</v>
      </c>
      <c r="E523" s="75" t="str">
        <f t="shared" si="5"/>
        <v>০</v>
      </c>
      <c r="F523" s="22" t="str">
        <f>"8119457815490"</f>
        <v>8119457815490</v>
      </c>
      <c r="G523" s="75" t="str">
        <f>"৮৮৭"</f>
        <v>৮৮৭</v>
      </c>
      <c r="H523" s="75" t="s">
        <v>317</v>
      </c>
      <c r="I523" s="75" t="s">
        <v>317</v>
      </c>
      <c r="J523" s="4"/>
    </row>
    <row r="524" spans="1:10" x14ac:dyDescent="0.25">
      <c r="A524" s="39">
        <v>523</v>
      </c>
      <c r="B524" s="3" t="s">
        <v>2135</v>
      </c>
      <c r="C524" s="75" t="s">
        <v>2134</v>
      </c>
      <c r="D524" s="75" t="s">
        <v>297</v>
      </c>
      <c r="E524" s="75" t="str">
        <f t="shared" si="5"/>
        <v>০</v>
      </c>
      <c r="F524" s="22" t="str">
        <f>"8119457815382"</f>
        <v>8119457815382</v>
      </c>
      <c r="G524" s="75" t="str">
        <f>"৮৮৬"</f>
        <v>৮৮৬</v>
      </c>
      <c r="H524" s="75" t="s">
        <v>318</v>
      </c>
      <c r="I524" s="75" t="s">
        <v>318</v>
      </c>
      <c r="J524" s="4"/>
    </row>
    <row r="525" spans="1:10" x14ac:dyDescent="0.25">
      <c r="A525" s="39">
        <v>524</v>
      </c>
      <c r="B525" s="3" t="s">
        <v>2023</v>
      </c>
      <c r="C525" s="75" t="s">
        <v>2136</v>
      </c>
      <c r="D525" s="75" t="s">
        <v>297</v>
      </c>
      <c r="E525" s="75" t="str">
        <f t="shared" si="5"/>
        <v>০</v>
      </c>
      <c r="F525" s="22" t="str">
        <f>"8119457815538"</f>
        <v>8119457815538</v>
      </c>
      <c r="G525" s="75" t="str">
        <f>"৮৮৫"</f>
        <v>৮৮৫</v>
      </c>
      <c r="H525" s="75" t="s">
        <v>319</v>
      </c>
      <c r="I525" s="75" t="s">
        <v>319</v>
      </c>
      <c r="J525" s="4"/>
    </row>
    <row r="526" spans="1:10" x14ac:dyDescent="0.25">
      <c r="A526" s="39">
        <v>525</v>
      </c>
      <c r="B526" s="3" t="s">
        <v>2137</v>
      </c>
      <c r="C526" s="75" t="s">
        <v>1677</v>
      </c>
      <c r="D526" s="75" t="s">
        <v>297</v>
      </c>
      <c r="E526" s="75" t="str">
        <f t="shared" si="5"/>
        <v>০</v>
      </c>
      <c r="F526" s="22" t="str">
        <f>"8119457815422"</f>
        <v>8119457815422</v>
      </c>
      <c r="G526" s="75" t="str">
        <f>"৮৮৪"</f>
        <v>৮৮৪</v>
      </c>
      <c r="H526" s="75" t="s">
        <v>320</v>
      </c>
      <c r="I526" s="75" t="s">
        <v>320</v>
      </c>
      <c r="J526" s="4"/>
    </row>
    <row r="527" spans="1:10" x14ac:dyDescent="0.25">
      <c r="A527" s="39">
        <v>526</v>
      </c>
      <c r="B527" s="3" t="s">
        <v>2138</v>
      </c>
      <c r="C527" s="75" t="s">
        <v>2116</v>
      </c>
      <c r="D527" s="75" t="s">
        <v>297</v>
      </c>
      <c r="E527" s="75" t="str">
        <f t="shared" si="5"/>
        <v>০</v>
      </c>
      <c r="F527" s="22" t="str">
        <f>"8119457815487"</f>
        <v>8119457815487</v>
      </c>
      <c r="G527" s="75" t="str">
        <f>"৮৮৩"</f>
        <v>৮৮৩</v>
      </c>
      <c r="H527" s="75" t="s">
        <v>315</v>
      </c>
      <c r="I527" s="75" t="s">
        <v>315</v>
      </c>
      <c r="J527" s="4"/>
    </row>
    <row r="528" spans="1:10" x14ac:dyDescent="0.25">
      <c r="A528" s="39">
        <v>527</v>
      </c>
      <c r="B528" s="3" t="s">
        <v>2047</v>
      </c>
      <c r="C528" s="75" t="s">
        <v>2076</v>
      </c>
      <c r="D528" s="75" t="s">
        <v>297</v>
      </c>
      <c r="E528" s="75" t="str">
        <f t="shared" si="5"/>
        <v>০</v>
      </c>
      <c r="F528" s="22" t="str">
        <f>"8119457816296"</f>
        <v>8119457816296</v>
      </c>
      <c r="G528" s="75" t="str">
        <f>"৮৮২"</f>
        <v>৮৮২</v>
      </c>
      <c r="H528" s="75" t="s">
        <v>313</v>
      </c>
      <c r="I528" s="75" t="s">
        <v>313</v>
      </c>
      <c r="J528" s="4"/>
    </row>
    <row r="529" spans="1:10" x14ac:dyDescent="0.25">
      <c r="A529" s="39">
        <v>528</v>
      </c>
      <c r="B529" s="3" t="s">
        <v>2139</v>
      </c>
      <c r="C529" s="75" t="s">
        <v>1622</v>
      </c>
      <c r="D529" s="75" t="s">
        <v>297</v>
      </c>
      <c r="E529" s="75" t="str">
        <f t="shared" si="5"/>
        <v>০</v>
      </c>
      <c r="F529" s="22" t="str">
        <f>"8119457815108"</f>
        <v>8119457815108</v>
      </c>
      <c r="G529" s="75" t="str">
        <f>"৮৮১"</f>
        <v>৮৮১</v>
      </c>
      <c r="H529" s="75" t="s">
        <v>314</v>
      </c>
      <c r="I529" s="75" t="s">
        <v>314</v>
      </c>
      <c r="J529" s="4"/>
    </row>
    <row r="530" spans="1:10" x14ac:dyDescent="0.25">
      <c r="A530" s="39">
        <v>529</v>
      </c>
      <c r="B530" s="3" t="s">
        <v>2140</v>
      </c>
      <c r="C530" s="75" t="s">
        <v>1707</v>
      </c>
      <c r="D530" s="75" t="s">
        <v>297</v>
      </c>
      <c r="E530" s="75" t="str">
        <f t="shared" si="5"/>
        <v>০</v>
      </c>
      <c r="F530" s="22" t="str">
        <f>"8119457811191"</f>
        <v>8119457811191</v>
      </c>
      <c r="G530" s="75" t="str">
        <f>"৮৮০"</f>
        <v>৮৮০</v>
      </c>
      <c r="H530" s="75" t="s">
        <v>321</v>
      </c>
      <c r="I530" s="75" t="s">
        <v>321</v>
      </c>
      <c r="J530" s="4"/>
    </row>
    <row r="531" spans="1:10" x14ac:dyDescent="0.25">
      <c r="A531" s="39">
        <v>530</v>
      </c>
      <c r="B531" s="3" t="s">
        <v>2039</v>
      </c>
      <c r="C531" s="75" t="s">
        <v>2141</v>
      </c>
      <c r="D531" s="75" t="s">
        <v>297</v>
      </c>
      <c r="E531" s="75" t="str">
        <f t="shared" si="5"/>
        <v>০</v>
      </c>
      <c r="F531" s="22" t="str">
        <f>"8119457815559"</f>
        <v>8119457815559</v>
      </c>
      <c r="G531" s="75" t="str">
        <f>"৮৭৯"</f>
        <v>৮৭৯</v>
      </c>
      <c r="H531" s="75" t="s">
        <v>322</v>
      </c>
      <c r="I531" s="75" t="s">
        <v>322</v>
      </c>
      <c r="J531" s="4"/>
    </row>
    <row r="532" spans="1:10" x14ac:dyDescent="0.25">
      <c r="A532" s="39">
        <v>531</v>
      </c>
      <c r="B532" s="3" t="s">
        <v>2143</v>
      </c>
      <c r="C532" s="75" t="s">
        <v>2142</v>
      </c>
      <c r="D532" s="75" t="s">
        <v>297</v>
      </c>
      <c r="E532" s="75" t="str">
        <f t="shared" si="5"/>
        <v>০</v>
      </c>
      <c r="F532" s="22" t="str">
        <f>"8119457815233"</f>
        <v>8119457815233</v>
      </c>
      <c r="G532" s="75" t="str">
        <f>"৮৭৮"</f>
        <v>৮৭৮</v>
      </c>
      <c r="H532" s="75" t="s">
        <v>314</v>
      </c>
      <c r="I532" s="75" t="s">
        <v>314</v>
      </c>
      <c r="J532" s="4"/>
    </row>
    <row r="533" spans="1:10" s="19" customFormat="1" x14ac:dyDescent="0.25">
      <c r="A533" s="39">
        <v>532</v>
      </c>
      <c r="B533" s="14" t="s">
        <v>1598</v>
      </c>
      <c r="C533" s="76" t="s">
        <v>1599</v>
      </c>
      <c r="D533" s="76" t="s">
        <v>297</v>
      </c>
      <c r="E533" s="76" t="str">
        <f t="shared" si="5"/>
        <v>০</v>
      </c>
      <c r="F533" s="24" t="str">
        <f>"8119457815415"</f>
        <v>8119457815415</v>
      </c>
      <c r="G533" s="76" t="str">
        <f>"৮৭৭"</f>
        <v>৮৭৭</v>
      </c>
      <c r="H533" s="76" t="s">
        <v>323</v>
      </c>
      <c r="I533" s="76" t="s">
        <v>323</v>
      </c>
      <c r="J533" s="18"/>
    </row>
    <row r="534" spans="1:10" x14ac:dyDescent="0.25">
      <c r="A534" s="39">
        <v>533</v>
      </c>
      <c r="B534" s="3" t="s">
        <v>2145</v>
      </c>
      <c r="C534" s="75" t="s">
        <v>2144</v>
      </c>
      <c r="D534" s="75" t="s">
        <v>297</v>
      </c>
      <c r="E534" s="75" t="str">
        <f t="shared" si="5"/>
        <v>০</v>
      </c>
      <c r="F534" s="22" t="str">
        <f>"8119457815331"</f>
        <v>8119457815331</v>
      </c>
      <c r="G534" s="75" t="str">
        <f>"৮৭৬"</f>
        <v>৮৭৬</v>
      </c>
      <c r="H534" s="75" t="s">
        <v>324</v>
      </c>
      <c r="I534" s="75" t="s">
        <v>324</v>
      </c>
      <c r="J534" s="4"/>
    </row>
    <row r="535" spans="1:10" x14ac:dyDescent="0.25">
      <c r="A535" s="39">
        <v>534</v>
      </c>
      <c r="B535" s="3" t="s">
        <v>2146</v>
      </c>
      <c r="C535" s="75" t="s">
        <v>1750</v>
      </c>
      <c r="D535" s="75" t="s">
        <v>297</v>
      </c>
      <c r="E535" s="75" t="str">
        <f t="shared" si="5"/>
        <v>০</v>
      </c>
      <c r="F535" s="22" t="str">
        <f>"8119457815291"</f>
        <v>8119457815291</v>
      </c>
      <c r="G535" s="75" t="str">
        <f>"৮৭৫"</f>
        <v>৮৭৫</v>
      </c>
      <c r="H535" s="75" t="s">
        <v>325</v>
      </c>
      <c r="I535" s="75" t="s">
        <v>325</v>
      </c>
      <c r="J535" s="4"/>
    </row>
    <row r="536" spans="1:10" x14ac:dyDescent="0.25">
      <c r="A536" s="39">
        <v>535</v>
      </c>
      <c r="B536" s="3" t="s">
        <v>2148</v>
      </c>
      <c r="C536" s="75" t="s">
        <v>2147</v>
      </c>
      <c r="D536" s="75" t="s">
        <v>297</v>
      </c>
      <c r="E536" s="75" t="str">
        <f t="shared" si="5"/>
        <v>০</v>
      </c>
      <c r="F536" s="22" t="str">
        <f>"8119457815173"</f>
        <v>8119457815173</v>
      </c>
      <c r="G536" s="75" t="str">
        <f>"৮৭৪"</f>
        <v>৮৭৪</v>
      </c>
      <c r="H536" s="75" t="s">
        <v>319</v>
      </c>
      <c r="I536" s="75" t="s">
        <v>319</v>
      </c>
      <c r="J536" s="4"/>
    </row>
    <row r="537" spans="1:10" x14ac:dyDescent="0.25">
      <c r="A537" s="39">
        <v>536</v>
      </c>
      <c r="B537" s="3" t="s">
        <v>1605</v>
      </c>
      <c r="C537" s="75" t="s">
        <v>2149</v>
      </c>
      <c r="D537" s="75" t="s">
        <v>297</v>
      </c>
      <c r="E537" s="75" t="str">
        <f t="shared" si="5"/>
        <v>০</v>
      </c>
      <c r="F537" s="22" t="str">
        <f>"8119457815158"</f>
        <v>8119457815158</v>
      </c>
      <c r="G537" s="75" t="str">
        <f>"৮৭৩"</f>
        <v>৮৭৩</v>
      </c>
      <c r="H537" s="75" t="s">
        <v>326</v>
      </c>
      <c r="I537" s="75" t="s">
        <v>326</v>
      </c>
      <c r="J537" s="4"/>
    </row>
    <row r="538" spans="1:10" x14ac:dyDescent="0.25">
      <c r="A538" s="39">
        <v>537</v>
      </c>
      <c r="B538" s="3" t="s">
        <v>2150</v>
      </c>
      <c r="C538" s="75" t="s">
        <v>2107</v>
      </c>
      <c r="D538" s="75" t="s">
        <v>297</v>
      </c>
      <c r="E538" s="75" t="str">
        <f t="shared" si="5"/>
        <v>০</v>
      </c>
      <c r="F538" s="22" t="str">
        <f>"8119457816471"</f>
        <v>8119457816471</v>
      </c>
      <c r="G538" s="75" t="str">
        <f>"৮৭২"</f>
        <v>৮৭২</v>
      </c>
      <c r="H538" s="75" t="s">
        <v>327</v>
      </c>
      <c r="I538" s="75" t="s">
        <v>327</v>
      </c>
      <c r="J538" s="4"/>
    </row>
    <row r="539" spans="1:10" x14ac:dyDescent="0.25">
      <c r="A539" s="39">
        <v>538</v>
      </c>
      <c r="B539" s="3" t="s">
        <v>2152</v>
      </c>
      <c r="C539" s="75" t="s">
        <v>2151</v>
      </c>
      <c r="D539" s="75" t="s">
        <v>297</v>
      </c>
      <c r="E539" s="75" t="str">
        <f t="shared" si="5"/>
        <v>০</v>
      </c>
      <c r="F539" s="22" t="str">
        <f>"8119457815289"</f>
        <v>8119457815289</v>
      </c>
      <c r="G539" s="75" t="str">
        <f>"৮৭১"</f>
        <v>৮৭১</v>
      </c>
      <c r="H539" s="75" t="s">
        <v>328</v>
      </c>
      <c r="I539" s="75" t="s">
        <v>328</v>
      </c>
      <c r="J539" s="4"/>
    </row>
    <row r="540" spans="1:10" x14ac:dyDescent="0.25">
      <c r="A540" s="39">
        <v>539</v>
      </c>
      <c r="B540" s="3" t="s">
        <v>1537</v>
      </c>
      <c r="C540" s="78" t="s">
        <v>4374</v>
      </c>
      <c r="D540" s="75" t="s">
        <v>297</v>
      </c>
      <c r="E540" s="75" t="str">
        <f t="shared" si="5"/>
        <v>০</v>
      </c>
      <c r="F540" s="22" t="str">
        <f>"8119457816442"</f>
        <v>8119457816442</v>
      </c>
      <c r="G540" s="75" t="str">
        <f>"৮৭০"</f>
        <v>৮৭০</v>
      </c>
      <c r="H540" s="75" t="s">
        <v>329</v>
      </c>
      <c r="I540" s="75" t="s">
        <v>329</v>
      </c>
      <c r="J540" s="4"/>
    </row>
    <row r="541" spans="1:10" x14ac:dyDescent="0.25">
      <c r="A541" s="39">
        <v>540</v>
      </c>
      <c r="B541" s="3" t="s">
        <v>2063</v>
      </c>
      <c r="C541" s="75" t="s">
        <v>2153</v>
      </c>
      <c r="D541" s="75" t="s">
        <v>297</v>
      </c>
      <c r="E541" s="75" t="str">
        <f t="shared" si="5"/>
        <v>০</v>
      </c>
      <c r="F541" s="22" t="str">
        <f>"8119457816365"</f>
        <v>8119457816365</v>
      </c>
      <c r="G541" s="75" t="str">
        <f>"৮৬৯"</f>
        <v>৮৬৯</v>
      </c>
      <c r="H541" s="75" t="s">
        <v>330</v>
      </c>
      <c r="I541" s="75" t="s">
        <v>330</v>
      </c>
      <c r="J541" s="4"/>
    </row>
    <row r="542" spans="1:10" x14ac:dyDescent="0.25">
      <c r="A542" s="39">
        <v>541</v>
      </c>
      <c r="B542" s="3" t="s">
        <v>2154</v>
      </c>
      <c r="C542" s="75" t="s">
        <v>1599</v>
      </c>
      <c r="D542" s="75" t="s">
        <v>297</v>
      </c>
      <c r="E542" s="75" t="str">
        <f t="shared" si="5"/>
        <v>০</v>
      </c>
      <c r="F542" s="22" t="str">
        <f>"8119457815534"</f>
        <v>8119457815534</v>
      </c>
      <c r="G542" s="75" t="str">
        <f>"৮৬৮"</f>
        <v>৮৬৮</v>
      </c>
      <c r="H542" s="75" t="s">
        <v>319</v>
      </c>
      <c r="I542" s="75" t="s">
        <v>319</v>
      </c>
      <c r="J542" s="4"/>
    </row>
    <row r="543" spans="1:10" x14ac:dyDescent="0.25">
      <c r="A543" s="39">
        <v>542</v>
      </c>
      <c r="B543" s="3" t="s">
        <v>2156</v>
      </c>
      <c r="C543" s="75" t="s">
        <v>2155</v>
      </c>
      <c r="D543" s="75" t="s">
        <v>297</v>
      </c>
      <c r="E543" s="75" t="str">
        <f t="shared" si="5"/>
        <v>০</v>
      </c>
      <c r="F543" s="22" t="str">
        <f>"8119457815532"</f>
        <v>8119457815532</v>
      </c>
      <c r="G543" s="75" t="str">
        <f>"৮৬৭"</f>
        <v>৮৬৭</v>
      </c>
      <c r="H543" s="75" t="s">
        <v>317</v>
      </c>
      <c r="I543" s="75" t="s">
        <v>317</v>
      </c>
      <c r="J543" s="4"/>
    </row>
    <row r="544" spans="1:10" x14ac:dyDescent="0.25">
      <c r="A544" s="39">
        <v>543</v>
      </c>
      <c r="B544" s="3" t="s">
        <v>1557</v>
      </c>
      <c r="C544" s="75" t="s">
        <v>2157</v>
      </c>
      <c r="D544" s="75" t="s">
        <v>297</v>
      </c>
      <c r="E544" s="75" t="str">
        <f t="shared" si="5"/>
        <v>০</v>
      </c>
      <c r="F544" s="22" t="str">
        <f>"8119457815464"</f>
        <v>8119457815464</v>
      </c>
      <c r="G544" s="75" t="str">
        <f>"৮৬৬"</f>
        <v>৮৬৬</v>
      </c>
      <c r="H544" s="75" t="s">
        <v>323</v>
      </c>
      <c r="I544" s="75" t="s">
        <v>323</v>
      </c>
      <c r="J544" s="4"/>
    </row>
    <row r="545" spans="1:10" x14ac:dyDescent="0.25">
      <c r="A545" s="39">
        <v>544</v>
      </c>
      <c r="B545" s="3" t="s">
        <v>2158</v>
      </c>
      <c r="C545" s="75" t="s">
        <v>2014</v>
      </c>
      <c r="D545" s="75" t="s">
        <v>297</v>
      </c>
      <c r="E545" s="75" t="str">
        <f t="shared" si="5"/>
        <v>০</v>
      </c>
      <c r="F545" s="22" t="str">
        <f>"8119457815073"</f>
        <v>8119457815073</v>
      </c>
      <c r="G545" s="75" t="str">
        <f>"৮৬৫"</f>
        <v>৮৬৫</v>
      </c>
      <c r="H545" s="75" t="s">
        <v>326</v>
      </c>
      <c r="I545" s="75" t="s">
        <v>326</v>
      </c>
      <c r="J545" s="4"/>
    </row>
    <row r="546" spans="1:10" x14ac:dyDescent="0.25">
      <c r="A546" s="39">
        <v>545</v>
      </c>
      <c r="B546" s="3" t="s">
        <v>2160</v>
      </c>
      <c r="C546" s="75" t="s">
        <v>2159</v>
      </c>
      <c r="D546" s="75" t="s">
        <v>297</v>
      </c>
      <c r="E546" s="75" t="str">
        <f t="shared" si="5"/>
        <v>০</v>
      </c>
      <c r="F546" s="22" t="str">
        <f>"8119457815376"</f>
        <v>8119457815376</v>
      </c>
      <c r="G546" s="75" t="str">
        <f>"৮৬৪"</f>
        <v>৮৬৪</v>
      </c>
      <c r="H546" s="75" t="s">
        <v>331</v>
      </c>
      <c r="I546" s="75" t="s">
        <v>331</v>
      </c>
      <c r="J546" s="4"/>
    </row>
    <row r="547" spans="1:10" x14ac:dyDescent="0.25">
      <c r="A547" s="39">
        <v>546</v>
      </c>
      <c r="B547" s="3" t="s">
        <v>2161</v>
      </c>
      <c r="C547" s="75" t="s">
        <v>2142</v>
      </c>
      <c r="D547" s="75" t="s">
        <v>297</v>
      </c>
      <c r="E547" s="75" t="str">
        <f t="shared" si="5"/>
        <v>০</v>
      </c>
      <c r="F547" s="22" t="str">
        <f>"8119457815407"</f>
        <v>8119457815407</v>
      </c>
      <c r="G547" s="75" t="str">
        <f>"৮৬৩"</f>
        <v>৮৬৩</v>
      </c>
      <c r="H547" s="75" t="s">
        <v>329</v>
      </c>
      <c r="I547" s="75" t="s">
        <v>329</v>
      </c>
      <c r="J547" s="4"/>
    </row>
    <row r="548" spans="1:10" x14ac:dyDescent="0.25">
      <c r="A548" s="39">
        <v>547</v>
      </c>
      <c r="B548" s="3" t="s">
        <v>2163</v>
      </c>
      <c r="C548" s="75" t="s">
        <v>2162</v>
      </c>
      <c r="D548" s="75" t="s">
        <v>297</v>
      </c>
      <c r="E548" s="75" t="str">
        <f t="shared" si="5"/>
        <v>০</v>
      </c>
      <c r="F548" s="22" t="str">
        <f>"8119457815490"</f>
        <v>8119457815490</v>
      </c>
      <c r="G548" s="75" t="str">
        <f>"৮৬২"</f>
        <v>৮৬২</v>
      </c>
      <c r="H548" s="75" t="s">
        <v>332</v>
      </c>
      <c r="I548" s="75" t="s">
        <v>332</v>
      </c>
      <c r="J548" s="4"/>
    </row>
    <row r="549" spans="1:10" x14ac:dyDescent="0.25">
      <c r="A549" s="39">
        <v>548</v>
      </c>
      <c r="B549" s="3" t="s">
        <v>2038</v>
      </c>
      <c r="C549" s="75" t="s">
        <v>1573</v>
      </c>
      <c r="D549" s="75" t="s">
        <v>297</v>
      </c>
      <c r="E549" s="75" t="str">
        <f t="shared" si="5"/>
        <v>০</v>
      </c>
      <c r="F549" s="22" t="str">
        <f>"8119457815382"</f>
        <v>8119457815382</v>
      </c>
      <c r="G549" s="75" t="str">
        <f>"৮৬১"</f>
        <v>৮৬১</v>
      </c>
      <c r="H549" s="75" t="s">
        <v>316</v>
      </c>
      <c r="I549" s="75" t="s">
        <v>316</v>
      </c>
      <c r="J549" s="4"/>
    </row>
    <row r="550" spans="1:10" x14ac:dyDescent="0.25">
      <c r="A550" s="39">
        <v>549</v>
      </c>
      <c r="B550" s="3" t="s">
        <v>2166</v>
      </c>
      <c r="C550" s="75" t="s">
        <v>2165</v>
      </c>
      <c r="D550" s="75" t="s">
        <v>304</v>
      </c>
      <c r="E550" s="75" t="str">
        <f t="shared" si="5"/>
        <v>০</v>
      </c>
      <c r="F550" s="22" t="str">
        <f>"8119457815422"</f>
        <v>8119457815422</v>
      </c>
      <c r="G550" s="75" t="str">
        <f>"৮৫৯"</f>
        <v>৮৫৯</v>
      </c>
      <c r="H550" s="75" t="s">
        <v>333</v>
      </c>
      <c r="I550" s="75" t="s">
        <v>333</v>
      </c>
      <c r="J550" s="4"/>
    </row>
    <row r="551" spans="1:10" x14ac:dyDescent="0.25">
      <c r="A551" s="39">
        <v>550</v>
      </c>
      <c r="B551" s="3" t="s">
        <v>2168</v>
      </c>
      <c r="C551" s="75" t="s">
        <v>2167</v>
      </c>
      <c r="D551" s="75" t="s">
        <v>300</v>
      </c>
      <c r="E551" s="75" t="str">
        <f t="shared" si="5"/>
        <v>০</v>
      </c>
      <c r="F551" s="22" t="str">
        <f>"8119457815487"</f>
        <v>8119457815487</v>
      </c>
      <c r="G551" s="75" t="str">
        <f>"৮৫৮"</f>
        <v>৮৫৮</v>
      </c>
      <c r="H551" s="75" t="s">
        <v>319</v>
      </c>
      <c r="I551" s="75" t="s">
        <v>319</v>
      </c>
      <c r="J551" s="4"/>
    </row>
    <row r="552" spans="1:10" x14ac:dyDescent="0.25">
      <c r="A552" s="39">
        <v>551</v>
      </c>
      <c r="B552" s="3" t="s">
        <v>2169</v>
      </c>
      <c r="C552" s="75" t="s">
        <v>2164</v>
      </c>
      <c r="D552" s="75" t="s">
        <v>304</v>
      </c>
      <c r="E552" s="75" t="str">
        <f t="shared" si="5"/>
        <v>০</v>
      </c>
      <c r="F552" s="22" t="str">
        <f>"8119457816296"</f>
        <v>8119457816296</v>
      </c>
      <c r="G552" s="75" t="str">
        <f>"৮৫৭"</f>
        <v>৮৫৭</v>
      </c>
      <c r="H552" s="75" t="s">
        <v>322</v>
      </c>
      <c r="I552" s="75" t="s">
        <v>322</v>
      </c>
      <c r="J552" s="4"/>
    </row>
    <row r="553" spans="1:10" x14ac:dyDescent="0.25">
      <c r="A553" s="39">
        <v>552</v>
      </c>
      <c r="B553" s="3" t="s">
        <v>2170</v>
      </c>
      <c r="C553" s="75" t="s">
        <v>2164</v>
      </c>
      <c r="D553" s="75" t="s">
        <v>304</v>
      </c>
      <c r="E553" s="75" t="str">
        <f t="shared" si="5"/>
        <v>০</v>
      </c>
      <c r="F553" s="22" t="str">
        <f>"8119457815108"</f>
        <v>8119457815108</v>
      </c>
      <c r="G553" s="75" t="str">
        <f>"৮৫৬"</f>
        <v>৮৫৬</v>
      </c>
      <c r="H553" s="75" t="s">
        <v>319</v>
      </c>
      <c r="I553" s="75" t="s">
        <v>319</v>
      </c>
      <c r="J553" s="4"/>
    </row>
    <row r="554" spans="1:10" x14ac:dyDescent="0.25">
      <c r="A554" s="39">
        <v>553</v>
      </c>
      <c r="B554" s="3" t="s">
        <v>2171</v>
      </c>
      <c r="C554" s="75" t="s">
        <v>2054</v>
      </c>
      <c r="D554" s="75" t="s">
        <v>305</v>
      </c>
      <c r="E554" s="75" t="str">
        <f t="shared" si="5"/>
        <v>০</v>
      </c>
      <c r="F554" s="22" t="str">
        <f>"8119457811191"</f>
        <v>8119457811191</v>
      </c>
      <c r="G554" s="75" t="str">
        <f>"৮৫৫"</f>
        <v>৮৫৫</v>
      </c>
      <c r="H554" s="75" t="s">
        <v>313</v>
      </c>
      <c r="I554" s="75" t="s">
        <v>313</v>
      </c>
      <c r="J554" s="4"/>
    </row>
    <row r="555" spans="1:10" x14ac:dyDescent="0.25">
      <c r="A555" s="39">
        <v>554</v>
      </c>
      <c r="B555" s="3" t="s">
        <v>2173</v>
      </c>
      <c r="C555" s="75" t="s">
        <v>2172</v>
      </c>
      <c r="D555" s="75" t="s">
        <v>301</v>
      </c>
      <c r="E555" s="75" t="str">
        <f t="shared" si="5"/>
        <v>০</v>
      </c>
      <c r="F555" s="22" t="str">
        <f>"8119457815559"</f>
        <v>8119457815559</v>
      </c>
      <c r="G555" s="75" t="str">
        <f>"৮৫৪"</f>
        <v>৮৫৪</v>
      </c>
      <c r="H555" s="75" t="s">
        <v>314</v>
      </c>
      <c r="I555" s="75" t="s">
        <v>314</v>
      </c>
      <c r="J555" s="4"/>
    </row>
    <row r="556" spans="1:10" x14ac:dyDescent="0.25">
      <c r="A556" s="39">
        <v>555</v>
      </c>
      <c r="B556" s="3" t="s">
        <v>2174</v>
      </c>
      <c r="C556" s="75" t="s">
        <v>1628</v>
      </c>
      <c r="D556" s="75" t="s">
        <v>300</v>
      </c>
      <c r="E556" s="75" t="str">
        <f t="shared" si="5"/>
        <v>০</v>
      </c>
      <c r="F556" s="22" t="str">
        <f>"8119457815233"</f>
        <v>8119457815233</v>
      </c>
      <c r="G556" s="75" t="str">
        <f>"৮৫৩"</f>
        <v>৮৫৩</v>
      </c>
      <c r="H556" s="75" t="s">
        <v>315</v>
      </c>
      <c r="I556" s="75" t="s">
        <v>315</v>
      </c>
      <c r="J556" s="4"/>
    </row>
    <row r="557" spans="1:10" x14ac:dyDescent="0.25">
      <c r="A557" s="39">
        <v>556</v>
      </c>
      <c r="B557" s="3" t="s">
        <v>2176</v>
      </c>
      <c r="C557" s="75" t="s">
        <v>2175</v>
      </c>
      <c r="D557" s="75" t="s">
        <v>304</v>
      </c>
      <c r="E557" s="75" t="str">
        <f t="shared" si="5"/>
        <v>০</v>
      </c>
      <c r="F557" s="22" t="str">
        <f>"8119457815415"</f>
        <v>8119457815415</v>
      </c>
      <c r="G557" s="75" t="str">
        <f>"৮৫২"</f>
        <v>৮৫২</v>
      </c>
      <c r="H557" s="75" t="s">
        <v>316</v>
      </c>
      <c r="I557" s="75" t="s">
        <v>316</v>
      </c>
      <c r="J557" s="4"/>
    </row>
    <row r="558" spans="1:10" x14ac:dyDescent="0.25">
      <c r="A558" s="39">
        <v>557</v>
      </c>
      <c r="B558" s="3" t="s">
        <v>2177</v>
      </c>
      <c r="C558" s="75" t="s">
        <v>1677</v>
      </c>
      <c r="D558" s="75" t="s">
        <v>300</v>
      </c>
      <c r="E558" s="75" t="str">
        <f t="shared" si="5"/>
        <v>০</v>
      </c>
      <c r="F558" s="22" t="str">
        <f>"8119457815331"</f>
        <v>8119457815331</v>
      </c>
      <c r="G558" s="75" t="str">
        <f>"৮৫১"</f>
        <v>৮৫১</v>
      </c>
      <c r="H558" s="75" t="s">
        <v>317</v>
      </c>
      <c r="I558" s="75" t="s">
        <v>317</v>
      </c>
      <c r="J558" s="4"/>
    </row>
    <row r="559" spans="1:10" x14ac:dyDescent="0.25">
      <c r="A559" s="39">
        <v>558</v>
      </c>
      <c r="B559" s="3" t="s">
        <v>2179</v>
      </c>
      <c r="C559" s="75" t="s">
        <v>2178</v>
      </c>
      <c r="D559" s="75" t="s">
        <v>301</v>
      </c>
      <c r="E559" s="75" t="str">
        <f t="shared" si="5"/>
        <v>০</v>
      </c>
      <c r="F559" s="22" t="str">
        <f>"8119457815291"</f>
        <v>8119457815291</v>
      </c>
      <c r="G559" s="75" t="str">
        <f>"৮৫০"</f>
        <v>৮৫০</v>
      </c>
      <c r="H559" s="75" t="s">
        <v>318</v>
      </c>
      <c r="I559" s="75" t="s">
        <v>318</v>
      </c>
      <c r="J559" s="4"/>
    </row>
    <row r="560" spans="1:10" x14ac:dyDescent="0.25">
      <c r="A560" s="39">
        <v>559</v>
      </c>
      <c r="B560" s="3" t="s">
        <v>2181</v>
      </c>
      <c r="C560" s="75" t="s">
        <v>2180</v>
      </c>
      <c r="D560" s="75" t="s">
        <v>301</v>
      </c>
      <c r="E560" s="75" t="str">
        <f t="shared" si="5"/>
        <v>০</v>
      </c>
      <c r="F560" s="22" t="str">
        <f>"8119457815173"</f>
        <v>8119457815173</v>
      </c>
      <c r="G560" s="75" t="str">
        <f>"৮৪৯"</f>
        <v>৮৪৯</v>
      </c>
      <c r="H560" s="75" t="s">
        <v>319</v>
      </c>
      <c r="I560" s="75" t="s">
        <v>319</v>
      </c>
      <c r="J560" s="4"/>
    </row>
    <row r="561" spans="1:10" x14ac:dyDescent="0.25">
      <c r="A561" s="39">
        <v>560</v>
      </c>
      <c r="B561" s="3" t="s">
        <v>2183</v>
      </c>
      <c r="C561" s="75" t="s">
        <v>2182</v>
      </c>
      <c r="D561" s="75" t="s">
        <v>306</v>
      </c>
      <c r="E561" s="75" t="str">
        <f t="shared" si="5"/>
        <v>০</v>
      </c>
      <c r="F561" s="22" t="str">
        <f>"8119457815158"</f>
        <v>8119457815158</v>
      </c>
      <c r="G561" s="75" t="str">
        <f>"৮৪৮"</f>
        <v>৮৪৮</v>
      </c>
      <c r="H561" s="75" t="s">
        <v>320</v>
      </c>
      <c r="I561" s="75" t="s">
        <v>320</v>
      </c>
      <c r="J561" s="4"/>
    </row>
    <row r="562" spans="1:10" x14ac:dyDescent="0.25">
      <c r="A562" s="39">
        <v>561</v>
      </c>
      <c r="B562" s="3" t="s">
        <v>1771</v>
      </c>
      <c r="C562" s="75" t="s">
        <v>2175</v>
      </c>
      <c r="D562" s="75" t="s">
        <v>304</v>
      </c>
      <c r="E562" s="75" t="str">
        <f t="shared" si="5"/>
        <v>০</v>
      </c>
      <c r="F562" s="22" t="str">
        <f>"8119457816471"</f>
        <v>8119457816471</v>
      </c>
      <c r="G562" s="75" t="str">
        <f>"৮৪৭"</f>
        <v>৮৪৭</v>
      </c>
      <c r="H562" s="75" t="s">
        <v>315</v>
      </c>
      <c r="I562" s="75" t="s">
        <v>315</v>
      </c>
      <c r="J562" s="4"/>
    </row>
    <row r="563" spans="1:10" x14ac:dyDescent="0.25">
      <c r="A563" s="39">
        <v>562</v>
      </c>
      <c r="B563" s="3" t="s">
        <v>2185</v>
      </c>
      <c r="C563" s="75" t="s">
        <v>2184</v>
      </c>
      <c r="D563" s="75" t="s">
        <v>301</v>
      </c>
      <c r="E563" s="75" t="str">
        <f t="shared" si="5"/>
        <v>০</v>
      </c>
      <c r="F563" s="22" t="str">
        <f>"8119457815289"</f>
        <v>8119457815289</v>
      </c>
      <c r="G563" s="75" t="str">
        <f>"৮৪৬"</f>
        <v>৮৪৬</v>
      </c>
      <c r="H563" s="75" t="s">
        <v>313</v>
      </c>
      <c r="I563" s="75" t="s">
        <v>313</v>
      </c>
      <c r="J563" s="4"/>
    </row>
    <row r="564" spans="1:10" x14ac:dyDescent="0.25">
      <c r="A564" s="39">
        <v>563</v>
      </c>
      <c r="B564" s="3" t="s">
        <v>2187</v>
      </c>
      <c r="C564" s="75" t="s">
        <v>2186</v>
      </c>
      <c r="D564" s="75" t="s">
        <v>305</v>
      </c>
      <c r="E564" s="75" t="str">
        <f t="shared" si="5"/>
        <v>০</v>
      </c>
      <c r="F564" s="22" t="str">
        <f>"8119457816442"</f>
        <v>8119457816442</v>
      </c>
      <c r="G564" s="75" t="str">
        <f>"৮৪৫"</f>
        <v>৮৪৫</v>
      </c>
      <c r="H564" s="75" t="s">
        <v>314</v>
      </c>
      <c r="I564" s="75" t="s">
        <v>314</v>
      </c>
      <c r="J564" s="4"/>
    </row>
    <row r="565" spans="1:10" x14ac:dyDescent="0.25">
      <c r="A565" s="39">
        <v>564</v>
      </c>
      <c r="B565" s="3" t="s">
        <v>2188</v>
      </c>
      <c r="C565" s="75" t="s">
        <v>2186</v>
      </c>
      <c r="D565" s="75" t="s">
        <v>305</v>
      </c>
      <c r="E565" s="75" t="str">
        <f t="shared" si="5"/>
        <v>০</v>
      </c>
      <c r="F565" s="22" t="str">
        <f>"8119457816365"</f>
        <v>8119457816365</v>
      </c>
      <c r="G565" s="75" t="str">
        <f>"৮৪৪"</f>
        <v>৮৪৪</v>
      </c>
      <c r="H565" s="75" t="s">
        <v>321</v>
      </c>
      <c r="I565" s="75" t="s">
        <v>321</v>
      </c>
      <c r="J565" s="4"/>
    </row>
    <row r="566" spans="1:10" x14ac:dyDescent="0.25">
      <c r="A566" s="39">
        <v>565</v>
      </c>
      <c r="B566" s="3" t="s">
        <v>2135</v>
      </c>
      <c r="C566" s="75" t="s">
        <v>2189</v>
      </c>
      <c r="D566" s="75" t="s">
        <v>301</v>
      </c>
      <c r="E566" s="75" t="str">
        <f t="shared" si="5"/>
        <v>০</v>
      </c>
      <c r="F566" s="22" t="str">
        <f>"8119457815534"</f>
        <v>8119457815534</v>
      </c>
      <c r="G566" s="75" t="str">
        <f>"৮৪৩"</f>
        <v>৮৪৩</v>
      </c>
      <c r="H566" s="75" t="s">
        <v>322</v>
      </c>
      <c r="I566" s="75" t="s">
        <v>322</v>
      </c>
      <c r="J566" s="4"/>
    </row>
    <row r="567" spans="1:10" x14ac:dyDescent="0.25">
      <c r="A567" s="39">
        <v>566</v>
      </c>
      <c r="B567" s="3" t="s">
        <v>2190</v>
      </c>
      <c r="C567" s="75" t="s">
        <v>1950</v>
      </c>
      <c r="D567" s="75" t="s">
        <v>305</v>
      </c>
      <c r="E567" s="75" t="str">
        <f t="shared" si="5"/>
        <v>০</v>
      </c>
      <c r="F567" s="22" t="str">
        <f>"8119457815532"</f>
        <v>8119457815532</v>
      </c>
      <c r="G567" s="75" t="str">
        <f>"৮৪২"</f>
        <v>৮৪২</v>
      </c>
      <c r="H567" s="75" t="s">
        <v>314</v>
      </c>
      <c r="I567" s="75" t="s">
        <v>314</v>
      </c>
      <c r="J567" s="4"/>
    </row>
    <row r="568" spans="1:10" x14ac:dyDescent="0.25">
      <c r="A568" s="39">
        <v>567</v>
      </c>
      <c r="B568" s="3" t="s">
        <v>2050</v>
      </c>
      <c r="C568" s="75" t="s">
        <v>2191</v>
      </c>
      <c r="D568" s="75" t="s">
        <v>305</v>
      </c>
      <c r="E568" s="75" t="str">
        <f t="shared" si="5"/>
        <v>০</v>
      </c>
      <c r="F568" s="22" t="str">
        <f>"8119457815464"</f>
        <v>8119457815464</v>
      </c>
      <c r="G568" s="75" t="str">
        <f>"৮৪১"</f>
        <v>৮৪১</v>
      </c>
      <c r="H568" s="75" t="s">
        <v>323</v>
      </c>
      <c r="I568" s="75" t="s">
        <v>323</v>
      </c>
      <c r="J568" s="4"/>
    </row>
    <row r="569" spans="1:10" x14ac:dyDescent="0.25">
      <c r="A569" s="39">
        <v>568</v>
      </c>
      <c r="B569" s="3" t="s">
        <v>1572</v>
      </c>
      <c r="C569" s="75" t="s">
        <v>1871</v>
      </c>
      <c r="D569" s="75" t="s">
        <v>305</v>
      </c>
      <c r="E569" s="75" t="str">
        <f t="shared" si="5"/>
        <v>০</v>
      </c>
      <c r="F569" s="22" t="str">
        <f>"8119457815073"</f>
        <v>8119457815073</v>
      </c>
      <c r="G569" s="75" t="str">
        <f>"৮৪০"</f>
        <v>৮৪০</v>
      </c>
      <c r="H569" s="75" t="s">
        <v>324</v>
      </c>
      <c r="I569" s="75" t="s">
        <v>324</v>
      </c>
      <c r="J569" s="4"/>
    </row>
    <row r="570" spans="1:10" x14ac:dyDescent="0.25">
      <c r="A570" s="39">
        <v>569</v>
      </c>
      <c r="B570" s="3" t="s">
        <v>1970</v>
      </c>
      <c r="C570" s="75" t="s">
        <v>2192</v>
      </c>
      <c r="D570" s="75" t="s">
        <v>305</v>
      </c>
      <c r="E570" s="75" t="str">
        <f t="shared" si="5"/>
        <v>০</v>
      </c>
      <c r="F570" s="22" t="str">
        <f>"8119457815376"</f>
        <v>8119457815376</v>
      </c>
      <c r="G570" s="75" t="str">
        <f>"৮৩৯"</f>
        <v>৮৩৯</v>
      </c>
      <c r="H570" s="75" t="s">
        <v>325</v>
      </c>
      <c r="I570" s="75" t="s">
        <v>325</v>
      </c>
      <c r="J570" s="4"/>
    </row>
    <row r="571" spans="1:10" x14ac:dyDescent="0.25">
      <c r="A571" s="39">
        <v>570</v>
      </c>
      <c r="B571" s="3" t="s">
        <v>2194</v>
      </c>
      <c r="C571" s="75" t="s">
        <v>2193</v>
      </c>
      <c r="D571" s="75" t="s">
        <v>307</v>
      </c>
      <c r="E571" s="75" t="str">
        <f t="shared" si="5"/>
        <v>০</v>
      </c>
      <c r="F571" s="22" t="str">
        <f>"8119457815407"</f>
        <v>8119457815407</v>
      </c>
      <c r="G571" s="75" t="str">
        <f>"৮৩৮"</f>
        <v>৮৩৮</v>
      </c>
      <c r="H571" s="75" t="s">
        <v>319</v>
      </c>
      <c r="I571" s="75" t="s">
        <v>319</v>
      </c>
      <c r="J571" s="4"/>
    </row>
    <row r="572" spans="1:10" x14ac:dyDescent="0.25">
      <c r="A572" s="39">
        <v>571</v>
      </c>
      <c r="B572" s="3" t="s">
        <v>2195</v>
      </c>
      <c r="D572" s="75" t="s">
        <v>307</v>
      </c>
      <c r="E572" s="75" t="str">
        <f t="shared" si="5"/>
        <v>০</v>
      </c>
      <c r="F572" s="22" t="str">
        <f>"8119457815490"</f>
        <v>8119457815490</v>
      </c>
      <c r="G572" s="75" t="str">
        <f>"৮৩৭"</f>
        <v>৮৩৭</v>
      </c>
      <c r="H572" s="75" t="s">
        <v>326</v>
      </c>
      <c r="I572" s="75" t="s">
        <v>326</v>
      </c>
      <c r="J572" s="4"/>
    </row>
    <row r="573" spans="1:10" x14ac:dyDescent="0.25">
      <c r="A573" s="39">
        <v>572</v>
      </c>
      <c r="B573" s="3" t="s">
        <v>2196</v>
      </c>
      <c r="C573" s="75" t="s">
        <v>2194</v>
      </c>
      <c r="D573" s="75" t="s">
        <v>307</v>
      </c>
      <c r="E573" s="75" t="str">
        <f t="shared" si="5"/>
        <v>০</v>
      </c>
      <c r="F573" s="22" t="str">
        <f>"8119457815382"</f>
        <v>8119457815382</v>
      </c>
      <c r="G573" s="75" t="str">
        <f>"৮৩৬"</f>
        <v>৮৩৬</v>
      </c>
      <c r="H573" s="75" t="s">
        <v>327</v>
      </c>
      <c r="I573" s="75" t="s">
        <v>327</v>
      </c>
      <c r="J573" s="4"/>
    </row>
    <row r="574" spans="1:10" x14ac:dyDescent="0.25">
      <c r="A574" s="39">
        <v>573</v>
      </c>
      <c r="B574" s="3" t="s">
        <v>2198</v>
      </c>
      <c r="C574" s="75" t="s">
        <v>2197</v>
      </c>
      <c r="D574" s="75" t="s">
        <v>307</v>
      </c>
      <c r="E574" s="75" t="str">
        <f t="shared" si="5"/>
        <v>০</v>
      </c>
      <c r="F574" s="22" t="str">
        <f>"8119457815538"</f>
        <v>8119457815538</v>
      </c>
      <c r="G574" s="75" t="str">
        <f>"৮৩৫"</f>
        <v>৮৩৫</v>
      </c>
      <c r="H574" s="75" t="s">
        <v>328</v>
      </c>
      <c r="I574" s="75" t="s">
        <v>328</v>
      </c>
      <c r="J574" s="4"/>
    </row>
    <row r="575" spans="1:10" x14ac:dyDescent="0.25">
      <c r="A575" s="39">
        <v>574</v>
      </c>
      <c r="B575" s="3" t="s">
        <v>2199</v>
      </c>
      <c r="C575" s="75" t="s">
        <v>2194</v>
      </c>
      <c r="D575" s="75" t="s">
        <v>307</v>
      </c>
      <c r="E575" s="75" t="str">
        <f t="shared" si="5"/>
        <v>০</v>
      </c>
      <c r="F575" s="22" t="str">
        <f>"8119457815422"</f>
        <v>8119457815422</v>
      </c>
      <c r="G575" s="75" t="str">
        <f>"৮৩৪"</f>
        <v>৮৩৪</v>
      </c>
      <c r="H575" s="75" t="s">
        <v>329</v>
      </c>
      <c r="I575" s="75" t="s">
        <v>329</v>
      </c>
      <c r="J575" s="4"/>
    </row>
    <row r="576" spans="1:10" x14ac:dyDescent="0.25">
      <c r="A576" s="39">
        <v>575</v>
      </c>
      <c r="B576" s="3" t="s">
        <v>2201</v>
      </c>
      <c r="C576" s="75" t="s">
        <v>2200</v>
      </c>
      <c r="D576" s="75" t="s">
        <v>307</v>
      </c>
      <c r="E576" s="75" t="str">
        <f t="shared" si="5"/>
        <v>০</v>
      </c>
      <c r="F576" s="22" t="str">
        <f>"8119457815487"</f>
        <v>8119457815487</v>
      </c>
      <c r="G576" s="75" t="str">
        <f>"৮৩৩"</f>
        <v>৮৩৩</v>
      </c>
      <c r="H576" s="75" t="s">
        <v>330</v>
      </c>
      <c r="I576" s="75" t="s">
        <v>330</v>
      </c>
      <c r="J576" s="4"/>
    </row>
    <row r="577" spans="1:10" x14ac:dyDescent="0.25">
      <c r="A577" s="39">
        <v>576</v>
      </c>
      <c r="B577" s="3" t="s">
        <v>2202</v>
      </c>
      <c r="C577" s="75" t="s">
        <v>2194</v>
      </c>
      <c r="D577" s="75" t="s">
        <v>307</v>
      </c>
      <c r="E577" s="75" t="str">
        <f t="shared" si="5"/>
        <v>০</v>
      </c>
      <c r="F577" s="22" t="str">
        <f>"8119457816296"</f>
        <v>8119457816296</v>
      </c>
      <c r="G577" s="75" t="str">
        <f>"৮৩২"</f>
        <v>৮৩২</v>
      </c>
      <c r="H577" s="75" t="s">
        <v>319</v>
      </c>
      <c r="I577" s="75" t="s">
        <v>319</v>
      </c>
      <c r="J577" s="4"/>
    </row>
    <row r="578" spans="1:10" x14ac:dyDescent="0.25">
      <c r="A578" s="39">
        <v>577</v>
      </c>
      <c r="B578" s="3" t="s">
        <v>2204</v>
      </c>
      <c r="C578" s="75" t="s">
        <v>2203</v>
      </c>
      <c r="D578" s="75" t="s">
        <v>308</v>
      </c>
      <c r="E578" s="75" t="str">
        <f t="shared" si="5"/>
        <v>০</v>
      </c>
      <c r="F578" s="22" t="str">
        <f>"8119457815108"</f>
        <v>8119457815108</v>
      </c>
      <c r="G578" s="75" t="str">
        <f>"৮৩১"</f>
        <v>৮৩১</v>
      </c>
      <c r="H578" s="75" t="s">
        <v>317</v>
      </c>
      <c r="I578" s="75" t="s">
        <v>317</v>
      </c>
      <c r="J578" s="4"/>
    </row>
    <row r="579" spans="1:10" x14ac:dyDescent="0.25">
      <c r="A579" s="39">
        <v>578</v>
      </c>
      <c r="B579" s="3" t="s">
        <v>2206</v>
      </c>
      <c r="C579" s="75" t="s">
        <v>2205</v>
      </c>
      <c r="D579" s="75" t="s">
        <v>308</v>
      </c>
      <c r="E579" s="75" t="str">
        <f t="shared" si="5"/>
        <v>০</v>
      </c>
      <c r="F579" s="22" t="str">
        <f>"8119457815559"</f>
        <v>8119457815559</v>
      </c>
      <c r="G579" s="75" t="str">
        <f>"৮২৯"</f>
        <v>৮২৯</v>
      </c>
      <c r="H579" s="75" t="s">
        <v>326</v>
      </c>
      <c r="I579" s="75" t="s">
        <v>326</v>
      </c>
      <c r="J579" s="4"/>
    </row>
    <row r="580" spans="1:10" x14ac:dyDescent="0.25">
      <c r="A580" s="39">
        <v>579</v>
      </c>
      <c r="B580" s="3" t="s">
        <v>1970</v>
      </c>
      <c r="C580" s="75" t="s">
        <v>2207</v>
      </c>
      <c r="D580" s="75" t="s">
        <v>308</v>
      </c>
      <c r="E580" s="75" t="str">
        <f t="shared" ref="E580:E748" si="6">"০"</f>
        <v>০</v>
      </c>
      <c r="F580" s="22" t="str">
        <f>"8119457815233"</f>
        <v>8119457815233</v>
      </c>
      <c r="G580" s="75" t="str">
        <f>"৮২৮"</f>
        <v>৮২৮</v>
      </c>
      <c r="H580" s="75" t="s">
        <v>331</v>
      </c>
      <c r="I580" s="75" t="s">
        <v>331</v>
      </c>
      <c r="J580" s="4"/>
    </row>
    <row r="581" spans="1:10" x14ac:dyDescent="0.25">
      <c r="A581" s="39">
        <v>580</v>
      </c>
      <c r="B581" s="3" t="s">
        <v>2209</v>
      </c>
      <c r="C581" s="75" t="s">
        <v>2208</v>
      </c>
      <c r="D581" s="75" t="s">
        <v>301</v>
      </c>
      <c r="E581" s="75" t="str">
        <f t="shared" si="6"/>
        <v>০</v>
      </c>
      <c r="F581" s="22" t="str">
        <f>"8119457815415"</f>
        <v>8119457815415</v>
      </c>
      <c r="G581" s="75" t="str">
        <f>"৮২৭"</f>
        <v>৮২৭</v>
      </c>
      <c r="H581" s="75" t="s">
        <v>329</v>
      </c>
      <c r="I581" s="75" t="s">
        <v>329</v>
      </c>
      <c r="J581" s="4"/>
    </row>
    <row r="582" spans="1:10" x14ac:dyDescent="0.25">
      <c r="A582" s="39">
        <v>581</v>
      </c>
      <c r="B582" s="3" t="s">
        <v>2211</v>
      </c>
      <c r="C582" s="75" t="s">
        <v>2210</v>
      </c>
      <c r="D582" s="75" t="s">
        <v>308</v>
      </c>
      <c r="E582" s="75" t="str">
        <f t="shared" si="6"/>
        <v>০</v>
      </c>
      <c r="F582" s="22" t="str">
        <f>"8119457815331"</f>
        <v>8119457815331</v>
      </c>
      <c r="G582" s="75" t="str">
        <f>"৮২৬"</f>
        <v>৮২৬</v>
      </c>
      <c r="H582" s="75" t="s">
        <v>332</v>
      </c>
      <c r="I582" s="75" t="s">
        <v>332</v>
      </c>
      <c r="J582" s="4"/>
    </row>
    <row r="583" spans="1:10" x14ac:dyDescent="0.25">
      <c r="A583" s="39">
        <v>582</v>
      </c>
      <c r="B583" s="3" t="s">
        <v>2213</v>
      </c>
      <c r="C583" s="75" t="s">
        <v>2212</v>
      </c>
      <c r="D583" s="75" t="s">
        <v>308</v>
      </c>
      <c r="E583" s="75" t="str">
        <f t="shared" si="6"/>
        <v>০</v>
      </c>
      <c r="F583" s="22" t="str">
        <f>"8119457815291"</f>
        <v>8119457815291</v>
      </c>
      <c r="G583" s="75" t="str">
        <f>"৮২৫"</f>
        <v>৮২৫</v>
      </c>
      <c r="H583" s="75" t="s">
        <v>316</v>
      </c>
      <c r="I583" s="75" t="s">
        <v>316</v>
      </c>
      <c r="J583" s="4"/>
    </row>
    <row r="584" spans="1:10" x14ac:dyDescent="0.25">
      <c r="A584" s="39">
        <v>583</v>
      </c>
      <c r="B584" s="3" t="s">
        <v>1657</v>
      </c>
      <c r="C584" s="75" t="s">
        <v>2200</v>
      </c>
      <c r="D584" s="75" t="s">
        <v>306</v>
      </c>
      <c r="E584" s="75" t="str">
        <f t="shared" si="6"/>
        <v>০</v>
      </c>
      <c r="F584" s="22" t="str">
        <f>"8119457815173"</f>
        <v>8119457815173</v>
      </c>
      <c r="G584" s="75" t="str">
        <f>"৮২৪"</f>
        <v>৮২৪</v>
      </c>
      <c r="H584" s="75" t="s">
        <v>330</v>
      </c>
      <c r="I584" s="75" t="s">
        <v>330</v>
      </c>
      <c r="J584" s="4"/>
    </row>
    <row r="585" spans="1:10" x14ac:dyDescent="0.25">
      <c r="A585" s="39">
        <v>584</v>
      </c>
      <c r="B585" s="3" t="s">
        <v>2215</v>
      </c>
      <c r="C585" s="75" t="s">
        <v>2214</v>
      </c>
      <c r="D585" s="75" t="s">
        <v>306</v>
      </c>
      <c r="E585" s="75" t="str">
        <f t="shared" si="6"/>
        <v>০</v>
      </c>
      <c r="F585" s="22" t="str">
        <f>"8119457815158"</f>
        <v>8119457815158</v>
      </c>
      <c r="G585" s="75" t="str">
        <f>"৮২৩"</f>
        <v>৮২৩</v>
      </c>
      <c r="H585" s="75" t="s">
        <v>333</v>
      </c>
      <c r="I585" s="75" t="s">
        <v>333</v>
      </c>
      <c r="J585" s="4"/>
    </row>
    <row r="586" spans="1:10" x14ac:dyDescent="0.25">
      <c r="A586" s="39">
        <v>585</v>
      </c>
      <c r="B586" s="3" t="s">
        <v>2217</v>
      </c>
      <c r="C586" s="75" t="s">
        <v>2216</v>
      </c>
      <c r="D586" s="75" t="s">
        <v>306</v>
      </c>
      <c r="E586" s="75" t="str">
        <f t="shared" si="6"/>
        <v>০</v>
      </c>
      <c r="F586" s="22" t="str">
        <f>"8119457815289"</f>
        <v>8119457815289</v>
      </c>
      <c r="G586" s="75" t="str">
        <f>"৮২১"</f>
        <v>৮২১</v>
      </c>
      <c r="H586" s="75" t="s">
        <v>322</v>
      </c>
      <c r="I586" s="75" t="s">
        <v>322</v>
      </c>
      <c r="J586" s="4"/>
    </row>
    <row r="587" spans="1:10" x14ac:dyDescent="0.25">
      <c r="A587" s="39">
        <v>586</v>
      </c>
      <c r="B587" s="3" t="s">
        <v>2219</v>
      </c>
      <c r="C587" s="75" t="s">
        <v>2218</v>
      </c>
      <c r="D587" s="75" t="s">
        <v>306</v>
      </c>
      <c r="E587" s="75" t="str">
        <f t="shared" si="6"/>
        <v>০</v>
      </c>
      <c r="F587" s="22" t="str">
        <f>"8119457816365"</f>
        <v>8119457816365</v>
      </c>
      <c r="G587" s="75" t="str">
        <f>"৮১৯"</f>
        <v>৮১৯</v>
      </c>
      <c r="H587" s="75" t="s">
        <v>315</v>
      </c>
      <c r="I587" s="75" t="s">
        <v>315</v>
      </c>
      <c r="J587" s="4"/>
    </row>
    <row r="588" spans="1:10" x14ac:dyDescent="0.25">
      <c r="A588" s="39">
        <v>587</v>
      </c>
      <c r="B588" s="3" t="s">
        <v>2221</v>
      </c>
      <c r="C588" s="75" t="s">
        <v>2220</v>
      </c>
      <c r="D588" s="75" t="s">
        <v>306</v>
      </c>
      <c r="E588" s="75" t="str">
        <f t="shared" si="6"/>
        <v>০</v>
      </c>
      <c r="F588" s="22" t="str">
        <f>"8119457815532"</f>
        <v>8119457815532</v>
      </c>
      <c r="G588" s="75" t="str">
        <f>"৮১৭"</f>
        <v>৮১৭</v>
      </c>
      <c r="H588" s="75" t="s">
        <v>317</v>
      </c>
      <c r="I588" s="75" t="s">
        <v>317</v>
      </c>
      <c r="J588" s="4"/>
    </row>
    <row r="589" spans="1:10" x14ac:dyDescent="0.25">
      <c r="A589" s="39">
        <v>588</v>
      </c>
      <c r="B589" s="3" t="s">
        <v>2223</v>
      </c>
      <c r="C589" s="75" t="s">
        <v>2222</v>
      </c>
      <c r="D589" s="75" t="s">
        <v>306</v>
      </c>
      <c r="E589" s="75" t="str">
        <f t="shared" si="6"/>
        <v>০</v>
      </c>
      <c r="F589" s="22" t="str">
        <f>"8119457815376"</f>
        <v>8119457815376</v>
      </c>
      <c r="G589" s="75" t="str">
        <f>"৮১৪"</f>
        <v>৮১৪</v>
      </c>
      <c r="H589" s="75" t="s">
        <v>320</v>
      </c>
      <c r="I589" s="75" t="s">
        <v>320</v>
      </c>
      <c r="J589" s="4"/>
    </row>
    <row r="590" spans="1:10" x14ac:dyDescent="0.25">
      <c r="A590" s="39">
        <v>589</v>
      </c>
      <c r="B590" s="11" t="s">
        <v>4375</v>
      </c>
      <c r="C590" s="75" t="s">
        <v>2225</v>
      </c>
      <c r="D590" s="75" t="s">
        <v>306</v>
      </c>
      <c r="E590" s="75" t="str">
        <f t="shared" si="6"/>
        <v>০</v>
      </c>
      <c r="F590" s="22" t="str">
        <f>"8119457815382"</f>
        <v>8119457815382</v>
      </c>
      <c r="G590" s="75" t="str">
        <f>"৮১১"</f>
        <v>৮১১</v>
      </c>
      <c r="H590" s="75" t="s">
        <v>314</v>
      </c>
      <c r="I590" s="75" t="s">
        <v>314</v>
      </c>
      <c r="J590" s="4"/>
    </row>
    <row r="591" spans="1:10" x14ac:dyDescent="0.25">
      <c r="A591" s="39">
        <v>590</v>
      </c>
      <c r="B591" s="3" t="s">
        <v>2227</v>
      </c>
      <c r="C591" s="75" t="s">
        <v>2226</v>
      </c>
      <c r="D591" s="75" t="s">
        <v>306</v>
      </c>
      <c r="E591" s="75" t="str">
        <f t="shared" si="6"/>
        <v>০</v>
      </c>
      <c r="F591" s="22" t="str">
        <f>"8119457815538"</f>
        <v>8119457815538</v>
      </c>
      <c r="G591" s="75" t="str">
        <f>"৮১০"</f>
        <v>৮১০</v>
      </c>
      <c r="H591" s="75" t="s">
        <v>321</v>
      </c>
      <c r="I591" s="75" t="s">
        <v>321</v>
      </c>
      <c r="J591" s="4"/>
    </row>
    <row r="592" spans="1:10" s="50" customFormat="1" x14ac:dyDescent="0.25">
      <c r="A592" s="39">
        <v>591</v>
      </c>
      <c r="B592" s="48" t="s">
        <v>4701</v>
      </c>
      <c r="C592" s="48" t="s">
        <v>4702</v>
      </c>
      <c r="D592" s="48" t="s">
        <v>4824</v>
      </c>
      <c r="E592" s="48" t="s">
        <v>4758</v>
      </c>
      <c r="F592" s="45" t="s">
        <v>4759</v>
      </c>
      <c r="G592" s="46"/>
      <c r="H592" s="48">
        <v>330</v>
      </c>
      <c r="I592" s="48">
        <v>330</v>
      </c>
      <c r="J592" s="49"/>
    </row>
    <row r="593" spans="1:10" s="50" customFormat="1" x14ac:dyDescent="0.25">
      <c r="A593" s="39">
        <v>592</v>
      </c>
      <c r="B593" s="44" t="s">
        <v>4703</v>
      </c>
      <c r="C593" s="44" t="s">
        <v>4704</v>
      </c>
      <c r="D593" s="44" t="s">
        <v>4824</v>
      </c>
      <c r="E593" s="44" t="s">
        <v>4758</v>
      </c>
      <c r="F593" s="45">
        <v>8119457816508</v>
      </c>
      <c r="G593" s="46">
        <v>130306161003</v>
      </c>
      <c r="H593" s="44">
        <v>198</v>
      </c>
      <c r="I593" s="44">
        <v>198</v>
      </c>
      <c r="J593" s="49"/>
    </row>
    <row r="594" spans="1:10" s="50" customFormat="1" x14ac:dyDescent="0.25">
      <c r="A594" s="39">
        <v>593</v>
      </c>
      <c r="B594" s="44" t="s">
        <v>4705</v>
      </c>
      <c r="C594" s="44" t="s">
        <v>4706</v>
      </c>
      <c r="D594" s="44" t="s">
        <v>4824</v>
      </c>
      <c r="E594" s="44" t="s">
        <v>4758</v>
      </c>
      <c r="F594" s="45" t="s">
        <v>4760</v>
      </c>
      <c r="G594" s="46"/>
      <c r="H594" s="44"/>
      <c r="I594" s="44"/>
      <c r="J594" s="49"/>
    </row>
    <row r="595" spans="1:10" s="50" customFormat="1" x14ac:dyDescent="0.25">
      <c r="A595" s="39">
        <v>594</v>
      </c>
      <c r="B595" s="44" t="s">
        <v>4707</v>
      </c>
      <c r="C595" s="44" t="s">
        <v>4706</v>
      </c>
      <c r="D595" s="44" t="s">
        <v>4824</v>
      </c>
      <c r="E595" s="44" t="s">
        <v>4761</v>
      </c>
      <c r="F595" s="45" t="s">
        <v>4762</v>
      </c>
      <c r="G595" s="46"/>
      <c r="H595" s="44">
        <v>330</v>
      </c>
      <c r="I595" s="44">
        <v>330</v>
      </c>
      <c r="J595" s="49"/>
    </row>
    <row r="596" spans="1:10" s="50" customFormat="1" x14ac:dyDescent="0.25">
      <c r="A596" s="39">
        <v>595</v>
      </c>
      <c r="B596" s="44" t="s">
        <v>4708</v>
      </c>
      <c r="C596" s="44" t="s">
        <v>4704</v>
      </c>
      <c r="D596" s="44" t="s">
        <v>4824</v>
      </c>
      <c r="E596" s="44" t="s">
        <v>4761</v>
      </c>
      <c r="F596" s="45">
        <v>8119457816414</v>
      </c>
      <c r="G596" s="46">
        <v>130306160737</v>
      </c>
      <c r="H596" s="44">
        <v>38</v>
      </c>
      <c r="I596" s="44">
        <v>38</v>
      </c>
      <c r="J596" s="49"/>
    </row>
    <row r="597" spans="1:10" s="50" customFormat="1" x14ac:dyDescent="0.25">
      <c r="A597" s="39">
        <v>596</v>
      </c>
      <c r="B597" s="44" t="s">
        <v>4709</v>
      </c>
      <c r="C597" s="44" t="s">
        <v>4710</v>
      </c>
      <c r="D597" s="44" t="s">
        <v>4824</v>
      </c>
      <c r="E597" s="44" t="s">
        <v>4761</v>
      </c>
      <c r="F597" s="45" t="s">
        <v>4763</v>
      </c>
      <c r="G597" s="46"/>
      <c r="H597" s="44">
        <v>82</v>
      </c>
      <c r="I597" s="44">
        <v>82</v>
      </c>
      <c r="J597" s="49"/>
    </row>
    <row r="598" spans="1:10" s="50" customFormat="1" x14ac:dyDescent="0.25">
      <c r="A598" s="39">
        <v>597</v>
      </c>
      <c r="B598" s="44" t="s">
        <v>4711</v>
      </c>
      <c r="C598" s="44" t="s">
        <v>4712</v>
      </c>
      <c r="D598" s="44" t="s">
        <v>4824</v>
      </c>
      <c r="E598" s="44" t="s">
        <v>4764</v>
      </c>
      <c r="F598" s="45">
        <v>8119457816465</v>
      </c>
      <c r="G598" s="46">
        <v>130306160502</v>
      </c>
      <c r="H598" s="44">
        <v>165</v>
      </c>
      <c r="I598" s="44">
        <v>165</v>
      </c>
      <c r="J598" s="49"/>
    </row>
    <row r="599" spans="1:10" s="50" customFormat="1" x14ac:dyDescent="0.25">
      <c r="A599" s="39">
        <v>598</v>
      </c>
      <c r="B599" s="44" t="s">
        <v>4713</v>
      </c>
      <c r="C599" s="44" t="s">
        <v>4714</v>
      </c>
      <c r="D599" s="44" t="s">
        <v>4824</v>
      </c>
      <c r="E599" s="44" t="s">
        <v>4765</v>
      </c>
      <c r="F599" s="45">
        <v>8119457816527</v>
      </c>
      <c r="G599" s="46">
        <v>130306161007</v>
      </c>
      <c r="H599" s="44">
        <v>495</v>
      </c>
      <c r="I599" s="44">
        <v>495</v>
      </c>
      <c r="J599" s="49"/>
    </row>
    <row r="600" spans="1:10" s="50" customFormat="1" x14ac:dyDescent="0.25">
      <c r="A600" s="39">
        <v>599</v>
      </c>
      <c r="B600" s="44" t="s">
        <v>4715</v>
      </c>
      <c r="C600" s="44" t="s">
        <v>4716</v>
      </c>
      <c r="D600" s="44" t="s">
        <v>4824</v>
      </c>
      <c r="E600" s="44" t="s">
        <v>4766</v>
      </c>
      <c r="F600" s="45">
        <v>8119457816443</v>
      </c>
      <c r="G600" s="46">
        <v>130306161000</v>
      </c>
      <c r="H600" s="44">
        <v>198</v>
      </c>
      <c r="I600" s="44">
        <v>198</v>
      </c>
      <c r="J600" s="49"/>
    </row>
    <row r="601" spans="1:10" s="50" customFormat="1" x14ac:dyDescent="0.25">
      <c r="A601" s="39">
        <v>600</v>
      </c>
      <c r="B601" s="44" t="s">
        <v>4717</v>
      </c>
      <c r="C601" s="44" t="s">
        <v>4716</v>
      </c>
      <c r="D601" s="44" t="s">
        <v>4824</v>
      </c>
      <c r="E601" s="44" t="s">
        <v>4767</v>
      </c>
      <c r="F601" s="45">
        <v>8119457816420</v>
      </c>
      <c r="G601" s="46">
        <v>130306161005</v>
      </c>
      <c r="H601" s="44">
        <v>660</v>
      </c>
      <c r="I601" s="44">
        <v>660</v>
      </c>
      <c r="J601" s="49"/>
    </row>
    <row r="602" spans="1:10" s="50" customFormat="1" x14ac:dyDescent="0.25">
      <c r="A602" s="39">
        <v>601</v>
      </c>
      <c r="B602" s="44" t="s">
        <v>4718</v>
      </c>
      <c r="C602" s="44" t="s">
        <v>4719</v>
      </c>
      <c r="D602" s="44" t="s">
        <v>4824</v>
      </c>
      <c r="E602" s="44" t="s">
        <v>4768</v>
      </c>
      <c r="F602" s="45" t="s">
        <v>4769</v>
      </c>
      <c r="G602" s="46">
        <v>130306161036</v>
      </c>
      <c r="H602" s="44">
        <v>115</v>
      </c>
      <c r="I602" s="44">
        <v>115</v>
      </c>
      <c r="J602" s="49"/>
    </row>
    <row r="603" spans="1:10" s="50" customFormat="1" x14ac:dyDescent="0.25">
      <c r="A603" s="39">
        <v>602</v>
      </c>
      <c r="B603" s="44" t="s">
        <v>769</v>
      </c>
      <c r="C603" s="44" t="s">
        <v>4720</v>
      </c>
      <c r="D603" s="44" t="s">
        <v>4824</v>
      </c>
      <c r="E603" s="44" t="s">
        <v>4770</v>
      </c>
      <c r="F603" s="45" t="s">
        <v>4771</v>
      </c>
      <c r="G603" s="46">
        <v>130306160999</v>
      </c>
      <c r="H603" s="44">
        <v>660</v>
      </c>
      <c r="I603" s="44">
        <v>660</v>
      </c>
      <c r="J603" s="49"/>
    </row>
    <row r="604" spans="1:10" s="50" customFormat="1" x14ac:dyDescent="0.25">
      <c r="A604" s="39">
        <v>603</v>
      </c>
      <c r="B604" s="44" t="s">
        <v>4721</v>
      </c>
      <c r="C604" s="44" t="s">
        <v>4720</v>
      </c>
      <c r="D604" s="44" t="s">
        <v>4824</v>
      </c>
      <c r="E604" s="44" t="s">
        <v>4765</v>
      </c>
      <c r="F604" s="45" t="s">
        <v>4772</v>
      </c>
      <c r="G604" s="46">
        <v>130306160762</v>
      </c>
      <c r="H604" s="44">
        <v>66</v>
      </c>
      <c r="I604" s="44">
        <v>66</v>
      </c>
      <c r="J604" s="49"/>
    </row>
    <row r="605" spans="1:10" s="50" customFormat="1" x14ac:dyDescent="0.25">
      <c r="A605" s="39">
        <v>604</v>
      </c>
      <c r="B605" s="44" t="s">
        <v>4722</v>
      </c>
      <c r="C605" s="44" t="s">
        <v>4710</v>
      </c>
      <c r="D605" s="44" t="s">
        <v>4824</v>
      </c>
      <c r="E605" s="44" t="s">
        <v>4773</v>
      </c>
      <c r="F605" s="45" t="s">
        <v>4774</v>
      </c>
      <c r="G605" s="46">
        <v>130306161101</v>
      </c>
      <c r="H605" s="44">
        <v>297</v>
      </c>
      <c r="I605" s="44">
        <v>297</v>
      </c>
      <c r="J605" s="49"/>
    </row>
    <row r="606" spans="1:10" s="50" customFormat="1" x14ac:dyDescent="0.25">
      <c r="A606" s="39">
        <v>605</v>
      </c>
      <c r="B606" s="44" t="s">
        <v>4723</v>
      </c>
      <c r="C606" s="44" t="s">
        <v>4712</v>
      </c>
      <c r="D606" s="44" t="s">
        <v>4824</v>
      </c>
      <c r="E606" s="44" t="s">
        <v>4775</v>
      </c>
      <c r="F606" s="45" t="s">
        <v>4776</v>
      </c>
      <c r="G606" s="46">
        <v>130306160751</v>
      </c>
      <c r="H606" s="44">
        <v>82</v>
      </c>
      <c r="I606" s="44">
        <v>82</v>
      </c>
      <c r="J606" s="49"/>
    </row>
    <row r="607" spans="1:10" s="50" customFormat="1" x14ac:dyDescent="0.25">
      <c r="A607" s="39">
        <v>606</v>
      </c>
      <c r="B607" s="44" t="s">
        <v>4724</v>
      </c>
      <c r="C607" s="44" t="s">
        <v>4710</v>
      </c>
      <c r="D607" s="44" t="s">
        <v>4824</v>
      </c>
      <c r="E607" s="44" t="s">
        <v>4777</v>
      </c>
      <c r="F607" s="45" t="s">
        <v>4778</v>
      </c>
      <c r="G607" s="46">
        <v>130306160750</v>
      </c>
      <c r="H607" s="44">
        <v>131</v>
      </c>
      <c r="I607" s="44">
        <v>131</v>
      </c>
      <c r="J607" s="49"/>
    </row>
    <row r="608" spans="1:10" s="50" customFormat="1" x14ac:dyDescent="0.25">
      <c r="A608" s="39">
        <v>607</v>
      </c>
      <c r="B608" s="44" t="s">
        <v>4725</v>
      </c>
      <c r="C608" s="44" t="s">
        <v>4726</v>
      </c>
      <c r="D608" s="44" t="s">
        <v>4824</v>
      </c>
      <c r="E608" s="44" t="s">
        <v>4779</v>
      </c>
      <c r="F608" s="45" t="s">
        <v>4780</v>
      </c>
      <c r="G608" s="46">
        <v>130306161105</v>
      </c>
      <c r="H608" s="44">
        <v>104</v>
      </c>
      <c r="I608" s="44">
        <v>104</v>
      </c>
      <c r="J608" s="49"/>
    </row>
    <row r="609" spans="1:10" s="50" customFormat="1" x14ac:dyDescent="0.25">
      <c r="A609" s="39">
        <v>608</v>
      </c>
      <c r="B609" s="44" t="s">
        <v>4727</v>
      </c>
      <c r="C609" s="44" t="s">
        <v>4728</v>
      </c>
      <c r="D609" s="44" t="s">
        <v>4824</v>
      </c>
      <c r="E609" s="44" t="s">
        <v>4781</v>
      </c>
      <c r="F609" s="45" t="s">
        <v>4782</v>
      </c>
      <c r="G609" s="46"/>
      <c r="H609" s="44">
        <v>53</v>
      </c>
      <c r="I609" s="44">
        <v>53</v>
      </c>
      <c r="J609" s="49"/>
    </row>
    <row r="610" spans="1:10" s="50" customFormat="1" x14ac:dyDescent="0.25">
      <c r="A610" s="39">
        <v>609</v>
      </c>
      <c r="B610" s="44" t="s">
        <v>1467</v>
      </c>
      <c r="C610" s="44" t="s">
        <v>4729</v>
      </c>
      <c r="D610" s="44" t="s">
        <v>4824</v>
      </c>
      <c r="E610" s="44" t="s">
        <v>4783</v>
      </c>
      <c r="F610" s="45" t="s">
        <v>4784</v>
      </c>
      <c r="G610" s="46"/>
      <c r="H610" s="44">
        <v>82</v>
      </c>
      <c r="I610" s="44">
        <v>82</v>
      </c>
      <c r="J610" s="49"/>
    </row>
    <row r="611" spans="1:10" s="50" customFormat="1" x14ac:dyDescent="0.25">
      <c r="A611" s="39">
        <v>610</v>
      </c>
      <c r="B611" s="44" t="s">
        <v>4730</v>
      </c>
      <c r="C611" s="44" t="s">
        <v>4726</v>
      </c>
      <c r="D611" s="44" t="s">
        <v>4824</v>
      </c>
      <c r="E611" s="44" t="s">
        <v>4785</v>
      </c>
      <c r="F611" s="45" t="s">
        <v>4786</v>
      </c>
      <c r="G611" s="46"/>
      <c r="H611" s="44">
        <v>72</v>
      </c>
      <c r="I611" s="44">
        <v>72</v>
      </c>
      <c r="J611" s="49"/>
    </row>
    <row r="612" spans="1:10" s="50" customFormat="1" x14ac:dyDescent="0.25">
      <c r="A612" s="39">
        <v>611</v>
      </c>
      <c r="B612" s="44" t="s">
        <v>4731</v>
      </c>
      <c r="C612" s="44" t="s">
        <v>4732</v>
      </c>
      <c r="D612" s="44" t="s">
        <v>4824</v>
      </c>
      <c r="E612" s="44" t="s">
        <v>4787</v>
      </c>
      <c r="F612" s="45" t="s">
        <v>4788</v>
      </c>
      <c r="G612" s="46">
        <v>130306161009</v>
      </c>
      <c r="H612" s="44">
        <v>132</v>
      </c>
      <c r="I612" s="44">
        <v>132</v>
      </c>
      <c r="J612" s="49"/>
    </row>
    <row r="613" spans="1:10" s="50" customFormat="1" x14ac:dyDescent="0.25">
      <c r="A613" s="39">
        <v>612</v>
      </c>
      <c r="B613" s="44" t="s">
        <v>4733</v>
      </c>
      <c r="C613" s="44" t="s">
        <v>4732</v>
      </c>
      <c r="D613" s="44" t="s">
        <v>4824</v>
      </c>
      <c r="E613" s="44" t="s">
        <v>4789</v>
      </c>
      <c r="F613" s="45" t="s">
        <v>4790</v>
      </c>
      <c r="G613" s="46">
        <v>130306160755</v>
      </c>
      <c r="H613" s="44">
        <v>99</v>
      </c>
      <c r="I613" s="44">
        <v>99</v>
      </c>
      <c r="J613" s="49"/>
    </row>
    <row r="614" spans="1:10" s="50" customFormat="1" x14ac:dyDescent="0.25">
      <c r="A614" s="39">
        <v>613</v>
      </c>
      <c r="B614" s="44" t="s">
        <v>4734</v>
      </c>
      <c r="C614" s="44" t="s">
        <v>4735</v>
      </c>
      <c r="D614" s="44" t="s">
        <v>4824</v>
      </c>
      <c r="E614" s="44" t="s">
        <v>4789</v>
      </c>
      <c r="F614" s="45" t="s">
        <v>4791</v>
      </c>
      <c r="G614" s="46">
        <v>130306161002</v>
      </c>
      <c r="H614" s="44">
        <v>297</v>
      </c>
      <c r="I614" s="44">
        <v>297</v>
      </c>
      <c r="J614" s="49"/>
    </row>
    <row r="615" spans="1:10" s="50" customFormat="1" x14ac:dyDescent="0.25">
      <c r="A615" s="39">
        <v>614</v>
      </c>
      <c r="B615" s="44" t="s">
        <v>4736</v>
      </c>
      <c r="C615" s="44" t="s">
        <v>4732</v>
      </c>
      <c r="D615" s="44" t="s">
        <v>4824</v>
      </c>
      <c r="E615" s="44" t="s">
        <v>4792</v>
      </c>
      <c r="F615" s="45" t="s">
        <v>4793</v>
      </c>
      <c r="G615" s="46"/>
      <c r="H615" s="44">
        <v>165</v>
      </c>
      <c r="I615" s="44">
        <v>165</v>
      </c>
      <c r="J615" s="49"/>
    </row>
    <row r="616" spans="1:10" s="50" customFormat="1" x14ac:dyDescent="0.25">
      <c r="A616" s="39">
        <v>615</v>
      </c>
      <c r="B616" s="44" t="s">
        <v>769</v>
      </c>
      <c r="C616" s="44" t="s">
        <v>1442</v>
      </c>
      <c r="D616" s="44" t="s">
        <v>4824</v>
      </c>
      <c r="E616" s="44" t="s">
        <v>4794</v>
      </c>
      <c r="F616" s="45" t="s">
        <v>4795</v>
      </c>
      <c r="G616" s="46"/>
      <c r="H616" s="44">
        <v>396</v>
      </c>
      <c r="I616" s="44">
        <v>396</v>
      </c>
      <c r="J616" s="49"/>
    </row>
    <row r="617" spans="1:10" s="50" customFormat="1" x14ac:dyDescent="0.25">
      <c r="A617" s="39">
        <v>616</v>
      </c>
      <c r="B617" s="44" t="s">
        <v>4737</v>
      </c>
      <c r="C617" s="44" t="s">
        <v>4738</v>
      </c>
      <c r="D617" s="44" t="s">
        <v>4824</v>
      </c>
      <c r="E617" s="44" t="s">
        <v>4796</v>
      </c>
      <c r="F617" s="45" t="s">
        <v>4797</v>
      </c>
      <c r="G617" s="46"/>
      <c r="H617" s="44">
        <v>198</v>
      </c>
      <c r="I617" s="44">
        <v>198</v>
      </c>
      <c r="J617" s="49"/>
    </row>
    <row r="618" spans="1:10" s="50" customFormat="1" x14ac:dyDescent="0.25">
      <c r="A618" s="39">
        <v>617</v>
      </c>
      <c r="B618" s="44" t="s">
        <v>4739</v>
      </c>
      <c r="C618" s="44" t="s">
        <v>4738</v>
      </c>
      <c r="D618" s="44" t="s">
        <v>4824</v>
      </c>
      <c r="E618" s="44" t="s">
        <v>4798</v>
      </c>
      <c r="F618" s="45" t="s">
        <v>4799</v>
      </c>
      <c r="G618" s="46"/>
      <c r="H618" s="44">
        <v>198</v>
      </c>
      <c r="I618" s="44">
        <v>198</v>
      </c>
      <c r="J618" s="49"/>
    </row>
    <row r="619" spans="1:10" s="50" customFormat="1" x14ac:dyDescent="0.25">
      <c r="A619" s="39">
        <v>618</v>
      </c>
      <c r="B619" s="44" t="s">
        <v>4740</v>
      </c>
      <c r="C619" s="44" t="s">
        <v>4741</v>
      </c>
      <c r="D619" s="44" t="s">
        <v>4824</v>
      </c>
      <c r="E619" s="44" t="s">
        <v>4800</v>
      </c>
      <c r="F619" s="45" t="s">
        <v>4801</v>
      </c>
      <c r="G619" s="46"/>
      <c r="H619" s="44">
        <v>165</v>
      </c>
      <c r="I619" s="44">
        <v>165</v>
      </c>
      <c r="J619" s="49"/>
    </row>
    <row r="620" spans="1:10" s="50" customFormat="1" x14ac:dyDescent="0.25">
      <c r="A620" s="39">
        <v>619</v>
      </c>
      <c r="B620" s="44" t="s">
        <v>4742</v>
      </c>
      <c r="C620" s="44" t="s">
        <v>4741</v>
      </c>
      <c r="D620" s="44" t="s">
        <v>4824</v>
      </c>
      <c r="E620" s="44" t="s">
        <v>4802</v>
      </c>
      <c r="F620" s="45" t="s">
        <v>4803</v>
      </c>
      <c r="G620" s="46"/>
      <c r="H620" s="44">
        <v>99</v>
      </c>
      <c r="I620" s="44">
        <v>99</v>
      </c>
      <c r="J620" s="49"/>
    </row>
    <row r="621" spans="1:10" s="50" customFormat="1" x14ac:dyDescent="0.25">
      <c r="A621" s="39">
        <v>620</v>
      </c>
      <c r="B621" s="44" t="s">
        <v>4743</v>
      </c>
      <c r="C621" s="44" t="s">
        <v>1164</v>
      </c>
      <c r="D621" s="44" t="s">
        <v>4824</v>
      </c>
      <c r="E621" s="44" t="s">
        <v>4804</v>
      </c>
      <c r="F621" s="45" t="s">
        <v>4805</v>
      </c>
      <c r="G621" s="46">
        <v>130306160531</v>
      </c>
      <c r="H621" s="44">
        <v>148</v>
      </c>
      <c r="I621" s="44">
        <v>148</v>
      </c>
      <c r="J621" s="49"/>
    </row>
    <row r="622" spans="1:10" s="50" customFormat="1" x14ac:dyDescent="0.25">
      <c r="A622" s="39">
        <v>621</v>
      </c>
      <c r="B622" s="44" t="s">
        <v>4744</v>
      </c>
      <c r="C622" s="44" t="s">
        <v>4745</v>
      </c>
      <c r="D622" s="44" t="s">
        <v>4824</v>
      </c>
      <c r="E622" s="44" t="s">
        <v>4806</v>
      </c>
      <c r="F622" s="45" t="s">
        <v>4807</v>
      </c>
      <c r="G622" s="46"/>
      <c r="H622" s="44">
        <v>137</v>
      </c>
      <c r="I622" s="44">
        <v>137</v>
      </c>
      <c r="J622" s="49"/>
    </row>
    <row r="623" spans="1:10" s="50" customFormat="1" x14ac:dyDescent="0.25">
      <c r="A623" s="39">
        <v>622</v>
      </c>
      <c r="B623" s="44" t="s">
        <v>4746</v>
      </c>
      <c r="C623" s="44" t="s">
        <v>4704</v>
      </c>
      <c r="D623" s="44" t="s">
        <v>4824</v>
      </c>
      <c r="E623" s="44" t="s">
        <v>4808</v>
      </c>
      <c r="F623" s="45" t="s">
        <v>4809</v>
      </c>
      <c r="G623" s="46">
        <v>130306160519</v>
      </c>
      <c r="H623" s="44">
        <v>264</v>
      </c>
      <c r="I623" s="44">
        <v>264</v>
      </c>
      <c r="J623" s="49"/>
    </row>
    <row r="624" spans="1:10" s="50" customFormat="1" x14ac:dyDescent="0.25">
      <c r="A624" s="39">
        <v>623</v>
      </c>
      <c r="B624" s="44" t="s">
        <v>4747</v>
      </c>
      <c r="C624" s="44" t="s">
        <v>4745</v>
      </c>
      <c r="D624" s="44" t="s">
        <v>4824</v>
      </c>
      <c r="E624" s="44" t="s">
        <v>4810</v>
      </c>
      <c r="F624" s="45" t="s">
        <v>4811</v>
      </c>
      <c r="G624" s="46"/>
      <c r="H624" s="44">
        <v>136</v>
      </c>
      <c r="I624" s="44">
        <v>136</v>
      </c>
      <c r="J624" s="49"/>
    </row>
    <row r="625" spans="1:10" s="50" customFormat="1" x14ac:dyDescent="0.25">
      <c r="A625" s="39">
        <v>624</v>
      </c>
      <c r="B625" s="44" t="s">
        <v>4748</v>
      </c>
      <c r="C625" s="44" t="s">
        <v>4749</v>
      </c>
      <c r="D625" s="44" t="s">
        <v>4824</v>
      </c>
      <c r="E625" s="44" t="s">
        <v>4812</v>
      </c>
      <c r="F625" s="45" t="s">
        <v>4813</v>
      </c>
      <c r="G625" s="46">
        <v>130306160666</v>
      </c>
      <c r="H625" s="44">
        <v>127</v>
      </c>
      <c r="I625" s="44">
        <v>127</v>
      </c>
      <c r="J625" s="49"/>
    </row>
    <row r="626" spans="1:10" s="50" customFormat="1" x14ac:dyDescent="0.25">
      <c r="A626" s="39">
        <v>625</v>
      </c>
      <c r="B626" s="44" t="s">
        <v>4750</v>
      </c>
      <c r="C626" s="44" t="s">
        <v>4751</v>
      </c>
      <c r="D626" s="44" t="s">
        <v>4824</v>
      </c>
      <c r="E626" s="44" t="s">
        <v>4814</v>
      </c>
      <c r="F626" s="45" t="s">
        <v>4815</v>
      </c>
      <c r="G626" s="46"/>
      <c r="H626" s="44">
        <v>148</v>
      </c>
      <c r="I626" s="44">
        <v>148</v>
      </c>
      <c r="J626" s="49"/>
    </row>
    <row r="627" spans="1:10" s="50" customFormat="1" x14ac:dyDescent="0.25">
      <c r="A627" s="39">
        <v>626</v>
      </c>
      <c r="B627" s="44" t="s">
        <v>4752</v>
      </c>
      <c r="C627" s="44" t="s">
        <v>4748</v>
      </c>
      <c r="D627" s="44" t="s">
        <v>4824</v>
      </c>
      <c r="E627" s="44" t="s">
        <v>4816</v>
      </c>
      <c r="F627" s="45" t="s">
        <v>4817</v>
      </c>
      <c r="G627" s="46"/>
      <c r="H627" s="44">
        <v>103</v>
      </c>
      <c r="I627" s="44">
        <v>103</v>
      </c>
      <c r="J627" s="49"/>
    </row>
    <row r="628" spans="1:10" s="50" customFormat="1" x14ac:dyDescent="0.25">
      <c r="A628" s="39">
        <v>627</v>
      </c>
      <c r="B628" s="44" t="s">
        <v>4753</v>
      </c>
      <c r="C628" s="44" t="s">
        <v>4754</v>
      </c>
      <c r="D628" s="44" t="s">
        <v>4824</v>
      </c>
      <c r="E628" s="44" t="s">
        <v>4818</v>
      </c>
      <c r="F628" s="45" t="s">
        <v>4819</v>
      </c>
      <c r="G628" s="46">
        <v>130306161126</v>
      </c>
      <c r="H628" s="44">
        <v>104</v>
      </c>
      <c r="I628" s="44">
        <v>104</v>
      </c>
      <c r="J628" s="49"/>
    </row>
    <row r="629" spans="1:10" s="50" customFormat="1" x14ac:dyDescent="0.25">
      <c r="A629" s="39">
        <v>628</v>
      </c>
      <c r="B629" s="44" t="s">
        <v>4755</v>
      </c>
      <c r="C629" s="44" t="s">
        <v>4749</v>
      </c>
      <c r="D629" s="44" t="s">
        <v>4824</v>
      </c>
      <c r="E629" s="44" t="s">
        <v>4820</v>
      </c>
      <c r="F629" s="45" t="s">
        <v>4821</v>
      </c>
      <c r="G629" s="46">
        <v>130306160706</v>
      </c>
      <c r="H629" s="44">
        <v>165</v>
      </c>
      <c r="I629" s="44">
        <v>165</v>
      </c>
      <c r="J629" s="49"/>
    </row>
    <row r="630" spans="1:10" s="50" customFormat="1" x14ac:dyDescent="0.25">
      <c r="A630" s="39">
        <v>629</v>
      </c>
      <c r="B630" s="44" t="s">
        <v>4756</v>
      </c>
      <c r="C630" s="44" t="s">
        <v>4757</v>
      </c>
      <c r="D630" s="44" t="s">
        <v>4824</v>
      </c>
      <c r="E630" s="44" t="s">
        <v>4822</v>
      </c>
      <c r="F630" s="45" t="s">
        <v>4823</v>
      </c>
      <c r="G630" s="46"/>
      <c r="H630" s="44">
        <v>231</v>
      </c>
      <c r="I630" s="44">
        <v>231</v>
      </c>
      <c r="J630" s="49"/>
    </row>
    <row r="631" spans="1:10" s="60" customFormat="1" x14ac:dyDescent="0.25">
      <c r="A631" s="39">
        <v>630</v>
      </c>
      <c r="B631" s="56" t="s">
        <v>1188</v>
      </c>
      <c r="C631" s="56" t="s">
        <v>4825</v>
      </c>
      <c r="D631" s="56" t="s">
        <v>305</v>
      </c>
      <c r="E631" s="56" t="s">
        <v>4916</v>
      </c>
      <c r="F631" s="57" t="s">
        <v>4917</v>
      </c>
      <c r="G631" s="58"/>
      <c r="H631" s="56">
        <v>37</v>
      </c>
      <c r="I631" s="56">
        <v>37</v>
      </c>
      <c r="J631" s="59"/>
    </row>
    <row r="632" spans="1:10" s="60" customFormat="1" x14ac:dyDescent="0.25">
      <c r="A632" s="39">
        <v>631</v>
      </c>
      <c r="B632" s="56" t="s">
        <v>4826</v>
      </c>
      <c r="C632" s="56" t="s">
        <v>4827</v>
      </c>
      <c r="D632" s="56" t="s">
        <v>305</v>
      </c>
      <c r="E632" s="56" t="s">
        <v>4918</v>
      </c>
      <c r="F632" s="57" t="s">
        <v>4919</v>
      </c>
      <c r="G632" s="58">
        <v>130306160921</v>
      </c>
      <c r="H632" s="56">
        <v>297</v>
      </c>
      <c r="I632" s="56">
        <v>297</v>
      </c>
      <c r="J632" s="59"/>
    </row>
    <row r="633" spans="1:10" s="60" customFormat="1" x14ac:dyDescent="0.25">
      <c r="A633" s="39">
        <v>632</v>
      </c>
      <c r="B633" s="56" t="s">
        <v>4828</v>
      </c>
      <c r="C633" s="56" t="s">
        <v>4829</v>
      </c>
      <c r="D633" s="56" t="s">
        <v>305</v>
      </c>
      <c r="E633" s="56" t="s">
        <v>4920</v>
      </c>
      <c r="F633" s="57" t="s">
        <v>4921</v>
      </c>
      <c r="G633" s="58"/>
      <c r="H633" s="56">
        <v>82</v>
      </c>
      <c r="I633" s="56">
        <v>82</v>
      </c>
      <c r="J633" s="59"/>
    </row>
    <row r="634" spans="1:10" s="60" customFormat="1" x14ac:dyDescent="0.25">
      <c r="A634" s="39">
        <v>633</v>
      </c>
      <c r="B634" s="56" t="s">
        <v>4830</v>
      </c>
      <c r="C634" s="56" t="s">
        <v>4831</v>
      </c>
      <c r="D634" s="56" t="s">
        <v>305</v>
      </c>
      <c r="E634" s="56" t="s">
        <v>4922</v>
      </c>
      <c r="F634" s="57" t="s">
        <v>4923</v>
      </c>
      <c r="G634" s="58"/>
      <c r="H634" s="56">
        <v>165</v>
      </c>
      <c r="I634" s="56">
        <v>165</v>
      </c>
      <c r="J634" s="59"/>
    </row>
    <row r="635" spans="1:10" s="60" customFormat="1" x14ac:dyDescent="0.25">
      <c r="A635" s="39">
        <v>634</v>
      </c>
      <c r="B635" s="56" t="s">
        <v>4832</v>
      </c>
      <c r="C635" s="56" t="s">
        <v>4833</v>
      </c>
      <c r="D635" s="56" t="s">
        <v>305</v>
      </c>
      <c r="E635" s="56" t="s">
        <v>4924</v>
      </c>
      <c r="F635" s="57" t="s">
        <v>4925</v>
      </c>
      <c r="G635" s="58"/>
      <c r="H635" s="56">
        <v>66</v>
      </c>
      <c r="I635" s="56">
        <v>66</v>
      </c>
      <c r="J635" s="59"/>
    </row>
    <row r="636" spans="1:10" s="60" customFormat="1" x14ac:dyDescent="0.25">
      <c r="A636" s="39">
        <v>635</v>
      </c>
      <c r="B636" s="56" t="s">
        <v>829</v>
      </c>
      <c r="C636" s="56" t="s">
        <v>4834</v>
      </c>
      <c r="D636" s="56" t="s">
        <v>305</v>
      </c>
      <c r="E636" s="56" t="s">
        <v>4926</v>
      </c>
      <c r="F636" s="57" t="s">
        <v>4927</v>
      </c>
      <c r="G636" s="58">
        <v>130306160923</v>
      </c>
      <c r="H636" s="56">
        <v>297</v>
      </c>
      <c r="I636" s="56">
        <v>297</v>
      </c>
      <c r="J636" s="59"/>
    </row>
    <row r="637" spans="1:10" s="60" customFormat="1" x14ac:dyDescent="0.25">
      <c r="A637" s="39">
        <v>636</v>
      </c>
      <c r="B637" s="56" t="s">
        <v>4835</v>
      </c>
      <c r="C637" s="56" t="s">
        <v>4836</v>
      </c>
      <c r="D637" s="56" t="s">
        <v>305</v>
      </c>
      <c r="E637" s="56" t="s">
        <v>4926</v>
      </c>
      <c r="F637" s="57" t="s">
        <v>4928</v>
      </c>
      <c r="G637" s="58"/>
      <c r="H637" s="56"/>
      <c r="I637" s="56"/>
      <c r="J637" s="59"/>
    </row>
    <row r="638" spans="1:10" s="60" customFormat="1" x14ac:dyDescent="0.25">
      <c r="A638" s="39">
        <v>637</v>
      </c>
      <c r="B638" s="56" t="s">
        <v>4837</v>
      </c>
      <c r="C638" s="56" t="s">
        <v>4834</v>
      </c>
      <c r="D638" s="56" t="s">
        <v>305</v>
      </c>
      <c r="E638" s="56" t="s">
        <v>4929</v>
      </c>
      <c r="F638" s="57" t="s">
        <v>4930</v>
      </c>
      <c r="G638" s="58">
        <v>130306160536</v>
      </c>
      <c r="H638" s="56">
        <v>330</v>
      </c>
      <c r="I638" s="56">
        <v>330</v>
      </c>
      <c r="J638" s="59"/>
    </row>
    <row r="639" spans="1:10" s="60" customFormat="1" x14ac:dyDescent="0.25">
      <c r="A639" s="39">
        <v>638</v>
      </c>
      <c r="B639" s="56" t="s">
        <v>1161</v>
      </c>
      <c r="C639" s="56" t="s">
        <v>4838</v>
      </c>
      <c r="D639" s="56" t="s">
        <v>305</v>
      </c>
      <c r="E639" s="56" t="s">
        <v>4931</v>
      </c>
      <c r="F639" s="57" t="s">
        <v>4932</v>
      </c>
      <c r="G639" s="58">
        <v>130306160934</v>
      </c>
      <c r="H639" s="56">
        <v>495</v>
      </c>
      <c r="I639" s="56">
        <v>495</v>
      </c>
      <c r="J639" s="59"/>
    </row>
    <row r="640" spans="1:10" s="60" customFormat="1" x14ac:dyDescent="0.25">
      <c r="A640" s="39">
        <v>639</v>
      </c>
      <c r="B640" s="56" t="s">
        <v>4839</v>
      </c>
      <c r="C640" s="56" t="s">
        <v>4840</v>
      </c>
      <c r="D640" s="56" t="s">
        <v>305</v>
      </c>
      <c r="E640" s="56" t="s">
        <v>4933</v>
      </c>
      <c r="F640" s="57" t="s">
        <v>4934</v>
      </c>
      <c r="G640" s="58"/>
      <c r="H640" s="56"/>
      <c r="I640" s="56"/>
      <c r="J640" s="59"/>
    </row>
    <row r="641" spans="1:10" s="60" customFormat="1" x14ac:dyDescent="0.25">
      <c r="A641" s="39">
        <v>640</v>
      </c>
      <c r="B641" s="56" t="s">
        <v>4841</v>
      </c>
      <c r="C641" s="56" t="s">
        <v>4842</v>
      </c>
      <c r="D641" s="56" t="s">
        <v>305</v>
      </c>
      <c r="E641" s="56" t="s">
        <v>4933</v>
      </c>
      <c r="F641" s="57" t="s">
        <v>4935</v>
      </c>
      <c r="G641" s="58">
        <v>130306160920</v>
      </c>
      <c r="H641" s="56">
        <v>330</v>
      </c>
      <c r="I641" s="56">
        <v>330</v>
      </c>
      <c r="J641" s="59"/>
    </row>
    <row r="642" spans="1:10" s="60" customFormat="1" x14ac:dyDescent="0.25">
      <c r="A642" s="39">
        <v>641</v>
      </c>
      <c r="B642" s="56" t="s">
        <v>4843</v>
      </c>
      <c r="C642" s="56" t="s">
        <v>4831</v>
      </c>
      <c r="D642" s="56" t="s">
        <v>305</v>
      </c>
      <c r="E642" s="56" t="s">
        <v>4936</v>
      </c>
      <c r="F642" s="57" t="s">
        <v>4937</v>
      </c>
      <c r="G642" s="58"/>
      <c r="H642" s="56">
        <v>198</v>
      </c>
      <c r="I642" s="56">
        <v>198</v>
      </c>
      <c r="J642" s="59"/>
    </row>
    <row r="643" spans="1:10" s="60" customFormat="1" x14ac:dyDescent="0.25">
      <c r="A643" s="39">
        <v>642</v>
      </c>
      <c r="B643" s="56" t="s">
        <v>4844</v>
      </c>
      <c r="C643" s="56" t="s">
        <v>4845</v>
      </c>
      <c r="D643" s="56" t="s">
        <v>305</v>
      </c>
      <c r="E643" s="56" t="s">
        <v>4938</v>
      </c>
      <c r="F643" s="57" t="s">
        <v>4939</v>
      </c>
      <c r="G643" s="58"/>
      <c r="H643" s="56">
        <v>128</v>
      </c>
      <c r="I643" s="56">
        <v>128</v>
      </c>
      <c r="J643" s="59"/>
    </row>
    <row r="644" spans="1:10" s="60" customFormat="1" x14ac:dyDescent="0.25">
      <c r="A644" s="39">
        <v>643</v>
      </c>
      <c r="B644" s="56" t="s">
        <v>4846</v>
      </c>
      <c r="C644" s="56" t="s">
        <v>4847</v>
      </c>
      <c r="D644" s="56" t="s">
        <v>305</v>
      </c>
      <c r="E644" s="56" t="s">
        <v>4940</v>
      </c>
      <c r="F644" s="57" t="s">
        <v>4941</v>
      </c>
      <c r="G644" s="58"/>
      <c r="H644" s="56">
        <v>66</v>
      </c>
      <c r="I644" s="56">
        <v>66</v>
      </c>
      <c r="J644" s="59"/>
    </row>
    <row r="645" spans="1:10" s="60" customFormat="1" x14ac:dyDescent="0.25">
      <c r="A645" s="39">
        <v>644</v>
      </c>
      <c r="B645" s="61" t="s">
        <v>4848</v>
      </c>
      <c r="C645" s="61" t="s">
        <v>4849</v>
      </c>
      <c r="D645" s="61" t="s">
        <v>305</v>
      </c>
      <c r="E645" s="61" t="s">
        <v>4942</v>
      </c>
      <c r="F645" s="57" t="s">
        <v>4943</v>
      </c>
      <c r="G645" s="58"/>
      <c r="H645" s="61">
        <v>32</v>
      </c>
      <c r="I645" s="61">
        <v>32</v>
      </c>
      <c r="J645" s="59"/>
    </row>
    <row r="646" spans="1:10" s="60" customFormat="1" x14ac:dyDescent="0.25">
      <c r="A646" s="39">
        <v>645</v>
      </c>
      <c r="B646" s="61" t="s">
        <v>4850</v>
      </c>
      <c r="C646" s="61" t="s">
        <v>4851</v>
      </c>
      <c r="D646" s="61" t="s">
        <v>305</v>
      </c>
      <c r="E646" s="61" t="s">
        <v>4944</v>
      </c>
      <c r="F646" s="57" t="s">
        <v>4945</v>
      </c>
      <c r="G646" s="58"/>
      <c r="H646" s="61">
        <v>16</v>
      </c>
      <c r="I646" s="61">
        <v>16</v>
      </c>
      <c r="J646" s="59"/>
    </row>
    <row r="647" spans="1:10" s="60" customFormat="1" x14ac:dyDescent="0.25">
      <c r="A647" s="39">
        <v>646</v>
      </c>
      <c r="B647" s="61" t="s">
        <v>4852</v>
      </c>
      <c r="C647" s="61" t="s">
        <v>831</v>
      </c>
      <c r="D647" s="61" t="s">
        <v>305</v>
      </c>
      <c r="E647" s="61" t="s">
        <v>4946</v>
      </c>
      <c r="F647" s="57" t="s">
        <v>4947</v>
      </c>
      <c r="G647" s="58"/>
      <c r="H647" s="61">
        <v>132</v>
      </c>
      <c r="I647" s="61">
        <v>132</v>
      </c>
      <c r="J647" s="59"/>
    </row>
    <row r="648" spans="1:10" s="60" customFormat="1" x14ac:dyDescent="0.25">
      <c r="A648" s="39">
        <v>647</v>
      </c>
      <c r="B648" s="61" t="s">
        <v>4853</v>
      </c>
      <c r="C648" s="61" t="s">
        <v>4854</v>
      </c>
      <c r="D648" s="61" t="s">
        <v>305</v>
      </c>
      <c r="E648" s="61" t="s">
        <v>4948</v>
      </c>
      <c r="F648" s="57" t="s">
        <v>4949</v>
      </c>
      <c r="G648" s="58"/>
      <c r="H648" s="61">
        <v>137</v>
      </c>
      <c r="I648" s="61">
        <v>137</v>
      </c>
      <c r="J648" s="59"/>
    </row>
    <row r="649" spans="1:10" s="60" customFormat="1" x14ac:dyDescent="0.25">
      <c r="A649" s="39">
        <v>648</v>
      </c>
      <c r="B649" s="61" t="s">
        <v>444</v>
      </c>
      <c r="C649" s="61" t="s">
        <v>1180</v>
      </c>
      <c r="D649" s="61" t="s">
        <v>305</v>
      </c>
      <c r="E649" s="61" t="s">
        <v>4950</v>
      </c>
      <c r="F649" s="57" t="s">
        <v>4951</v>
      </c>
      <c r="G649" s="58">
        <v>130306160929</v>
      </c>
      <c r="H649" s="61">
        <v>99</v>
      </c>
      <c r="I649" s="61">
        <v>99</v>
      </c>
      <c r="J649" s="59"/>
    </row>
    <row r="650" spans="1:10" s="60" customFormat="1" x14ac:dyDescent="0.25">
      <c r="A650" s="39">
        <v>649</v>
      </c>
      <c r="B650" s="61" t="s">
        <v>4855</v>
      </c>
      <c r="C650" s="61" t="s">
        <v>444</v>
      </c>
      <c r="D650" s="61" t="s">
        <v>305</v>
      </c>
      <c r="E650" s="61" t="s">
        <v>4952</v>
      </c>
      <c r="F650" s="57" t="s">
        <v>4953</v>
      </c>
      <c r="G650" s="58"/>
      <c r="H650" s="61">
        <v>120</v>
      </c>
      <c r="I650" s="61">
        <v>120</v>
      </c>
      <c r="J650" s="59"/>
    </row>
    <row r="651" spans="1:10" s="60" customFormat="1" x14ac:dyDescent="0.25">
      <c r="A651" s="39">
        <v>650</v>
      </c>
      <c r="B651" s="61" t="s">
        <v>525</v>
      </c>
      <c r="C651" s="61" t="s">
        <v>1180</v>
      </c>
      <c r="D651" s="61" t="s">
        <v>305</v>
      </c>
      <c r="E651" s="61" t="s">
        <v>4954</v>
      </c>
      <c r="F651" s="57" t="s">
        <v>4955</v>
      </c>
      <c r="G651" s="58">
        <v>130306160916</v>
      </c>
      <c r="H651" s="61">
        <v>148</v>
      </c>
      <c r="I651" s="61">
        <v>148</v>
      </c>
      <c r="J651" s="59"/>
    </row>
    <row r="652" spans="1:10" s="60" customFormat="1" x14ac:dyDescent="0.25">
      <c r="A652" s="39">
        <v>651</v>
      </c>
      <c r="B652" s="61" t="s">
        <v>4856</v>
      </c>
      <c r="C652" s="61" t="s">
        <v>4857</v>
      </c>
      <c r="D652" s="61" t="s">
        <v>305</v>
      </c>
      <c r="E652" s="61" t="s">
        <v>4956</v>
      </c>
      <c r="F652" s="57" t="s">
        <v>4957</v>
      </c>
      <c r="G652" s="58"/>
      <c r="H652" s="61">
        <v>104</v>
      </c>
      <c r="I652" s="61">
        <v>104</v>
      </c>
      <c r="J652" s="59"/>
    </row>
    <row r="653" spans="1:10" s="60" customFormat="1" x14ac:dyDescent="0.25">
      <c r="A653" s="39">
        <v>652</v>
      </c>
      <c r="B653" s="61" t="s">
        <v>693</v>
      </c>
      <c r="C653" s="61" t="s">
        <v>4825</v>
      </c>
      <c r="D653" s="61" t="s">
        <v>305</v>
      </c>
      <c r="E653" s="61" t="s">
        <v>4958</v>
      </c>
      <c r="F653" s="57" t="s">
        <v>4959</v>
      </c>
      <c r="G653" s="58"/>
      <c r="H653" s="61">
        <v>137</v>
      </c>
      <c r="I653" s="61">
        <v>137</v>
      </c>
      <c r="J653" s="59"/>
    </row>
    <row r="654" spans="1:10" s="60" customFormat="1" x14ac:dyDescent="0.25">
      <c r="A654" s="39">
        <v>653</v>
      </c>
      <c r="B654" s="61" t="s">
        <v>4825</v>
      </c>
      <c r="C654" s="61" t="s">
        <v>859</v>
      </c>
      <c r="D654" s="61" t="s">
        <v>305</v>
      </c>
      <c r="E654" s="61" t="s">
        <v>4960</v>
      </c>
      <c r="F654" s="57" t="s">
        <v>4961</v>
      </c>
      <c r="G654" s="58">
        <v>130306160938</v>
      </c>
      <c r="H654" s="61">
        <v>99</v>
      </c>
      <c r="I654" s="61">
        <v>99</v>
      </c>
      <c r="J654" s="59"/>
    </row>
    <row r="655" spans="1:10" s="60" customFormat="1" x14ac:dyDescent="0.25">
      <c r="A655" s="39">
        <v>654</v>
      </c>
      <c r="B655" s="61" t="s">
        <v>4858</v>
      </c>
      <c r="C655" s="61" t="s">
        <v>4825</v>
      </c>
      <c r="D655" s="61" t="s">
        <v>305</v>
      </c>
      <c r="E655" s="61" t="s">
        <v>4960</v>
      </c>
      <c r="F655" s="57" t="s">
        <v>4962</v>
      </c>
      <c r="G655" s="58"/>
      <c r="H655" s="61">
        <v>70</v>
      </c>
      <c r="I655" s="61">
        <v>70</v>
      </c>
      <c r="J655" s="59"/>
    </row>
    <row r="656" spans="1:10" s="60" customFormat="1" x14ac:dyDescent="0.25">
      <c r="A656" s="39">
        <v>655</v>
      </c>
      <c r="B656" s="56" t="s">
        <v>884</v>
      </c>
      <c r="C656" s="56" t="s">
        <v>4859</v>
      </c>
      <c r="D656" s="56" t="s">
        <v>305</v>
      </c>
      <c r="E656" s="56" t="s">
        <v>4963</v>
      </c>
      <c r="F656" s="57" t="s">
        <v>4964</v>
      </c>
      <c r="G656" s="58">
        <v>130306160945</v>
      </c>
      <c r="H656" s="56">
        <v>41</v>
      </c>
      <c r="I656" s="56">
        <v>41</v>
      </c>
      <c r="J656" s="59"/>
    </row>
    <row r="657" spans="1:10" s="60" customFormat="1" x14ac:dyDescent="0.25">
      <c r="A657" s="39">
        <v>656</v>
      </c>
      <c r="B657" s="56" t="s">
        <v>4860</v>
      </c>
      <c r="C657" s="56" t="s">
        <v>884</v>
      </c>
      <c r="D657" s="56" t="s">
        <v>305</v>
      </c>
      <c r="E657" s="56" t="s">
        <v>4965</v>
      </c>
      <c r="F657" s="57" t="s">
        <v>4966</v>
      </c>
      <c r="G657" s="58"/>
      <c r="H657" s="56">
        <v>38</v>
      </c>
      <c r="I657" s="56">
        <v>38</v>
      </c>
      <c r="J657" s="59"/>
    </row>
    <row r="658" spans="1:10" s="60" customFormat="1" x14ac:dyDescent="0.25">
      <c r="A658" s="39">
        <v>657</v>
      </c>
      <c r="B658" s="56" t="s">
        <v>502</v>
      </c>
      <c r="C658" s="56" t="s">
        <v>4861</v>
      </c>
      <c r="D658" s="56" t="s">
        <v>305</v>
      </c>
      <c r="E658" s="56" t="s">
        <v>4967</v>
      </c>
      <c r="F658" s="57" t="s">
        <v>4968</v>
      </c>
      <c r="G658" s="58">
        <v>130306160906</v>
      </c>
      <c r="H658" s="56">
        <v>66</v>
      </c>
      <c r="I658" s="56">
        <v>66</v>
      </c>
      <c r="J658" s="59"/>
    </row>
    <row r="659" spans="1:10" s="60" customFormat="1" x14ac:dyDescent="0.25">
      <c r="A659" s="39">
        <v>658</v>
      </c>
      <c r="B659" s="56" t="s">
        <v>698</v>
      </c>
      <c r="C659" s="56" t="s">
        <v>4862</v>
      </c>
      <c r="D659" s="56" t="s">
        <v>305</v>
      </c>
      <c r="E659" s="56" t="s">
        <v>4969</v>
      </c>
      <c r="F659" s="57" t="s">
        <v>4970</v>
      </c>
      <c r="G659" s="58">
        <v>130306160973</v>
      </c>
      <c r="H659" s="56">
        <v>41</v>
      </c>
      <c r="I659" s="56">
        <v>41</v>
      </c>
      <c r="J659" s="59"/>
    </row>
    <row r="660" spans="1:10" s="60" customFormat="1" x14ac:dyDescent="0.25">
      <c r="A660" s="39">
        <v>659</v>
      </c>
      <c r="B660" s="56" t="s">
        <v>4863</v>
      </c>
      <c r="C660" s="56" t="s">
        <v>4861</v>
      </c>
      <c r="D660" s="56" t="s">
        <v>305</v>
      </c>
      <c r="E660" s="56" t="s">
        <v>4971</v>
      </c>
      <c r="F660" s="57" t="s">
        <v>4972</v>
      </c>
      <c r="G660" s="58"/>
      <c r="H660" s="56">
        <v>86</v>
      </c>
      <c r="I660" s="56">
        <v>86</v>
      </c>
      <c r="J660" s="59"/>
    </row>
    <row r="661" spans="1:10" s="60" customFormat="1" x14ac:dyDescent="0.25">
      <c r="A661" s="39">
        <v>660</v>
      </c>
      <c r="B661" s="56" t="s">
        <v>4839</v>
      </c>
      <c r="C661" s="56" t="s">
        <v>4864</v>
      </c>
      <c r="D661" s="56" t="s">
        <v>305</v>
      </c>
      <c r="E661" s="56" t="s">
        <v>4973</v>
      </c>
      <c r="F661" s="57" t="s">
        <v>4974</v>
      </c>
      <c r="G661" s="58"/>
      <c r="H661" s="56">
        <v>37</v>
      </c>
      <c r="I661" s="56">
        <v>37</v>
      </c>
      <c r="J661" s="59"/>
    </row>
    <row r="662" spans="1:10" s="60" customFormat="1" x14ac:dyDescent="0.25">
      <c r="A662" s="39">
        <v>661</v>
      </c>
      <c r="B662" s="56" t="s">
        <v>369</v>
      </c>
      <c r="C662" s="56" t="s">
        <v>4865</v>
      </c>
      <c r="D662" s="56" t="s">
        <v>305</v>
      </c>
      <c r="E662" s="56" t="s">
        <v>4975</v>
      </c>
      <c r="F662" s="57" t="s">
        <v>4976</v>
      </c>
      <c r="G662" s="58">
        <v>130306160912</v>
      </c>
      <c r="H662" s="56">
        <v>396</v>
      </c>
      <c r="I662" s="56">
        <v>396</v>
      </c>
      <c r="J662" s="59"/>
    </row>
    <row r="663" spans="1:10" s="60" customFormat="1" x14ac:dyDescent="0.25">
      <c r="A663" s="39">
        <v>662</v>
      </c>
      <c r="B663" s="56" t="s">
        <v>4866</v>
      </c>
      <c r="C663" s="56" t="s">
        <v>369</v>
      </c>
      <c r="D663" s="56" t="s">
        <v>5057</v>
      </c>
      <c r="E663" s="56" t="s">
        <v>4977</v>
      </c>
      <c r="F663" s="57" t="s">
        <v>4953</v>
      </c>
      <c r="G663" s="58"/>
      <c r="H663" s="56">
        <v>165</v>
      </c>
      <c r="I663" s="56">
        <v>165</v>
      </c>
      <c r="J663" s="59"/>
    </row>
    <row r="664" spans="1:10" s="60" customFormat="1" x14ac:dyDescent="0.25">
      <c r="A664" s="39">
        <v>663</v>
      </c>
      <c r="B664" s="56" t="s">
        <v>4867</v>
      </c>
      <c r="C664" s="56" t="s">
        <v>4865</v>
      </c>
      <c r="D664" s="56" t="s">
        <v>5057</v>
      </c>
      <c r="E664" s="56" t="s">
        <v>4978</v>
      </c>
      <c r="F664" s="57" t="s">
        <v>4979</v>
      </c>
      <c r="G664" s="58">
        <v>130306160935</v>
      </c>
      <c r="H664" s="56">
        <v>792</v>
      </c>
      <c r="I664" s="56">
        <v>792</v>
      </c>
      <c r="J664" s="59"/>
    </row>
    <row r="665" spans="1:10" s="60" customFormat="1" x14ac:dyDescent="0.25">
      <c r="A665" s="39">
        <v>664</v>
      </c>
      <c r="B665" s="56" t="s">
        <v>4868</v>
      </c>
      <c r="C665" s="56" t="s">
        <v>4869</v>
      </c>
      <c r="D665" s="56" t="s">
        <v>5057</v>
      </c>
      <c r="E665" s="56" t="s">
        <v>4980</v>
      </c>
      <c r="F665" s="57" t="s">
        <v>4981</v>
      </c>
      <c r="G665" s="58"/>
      <c r="H665" s="56">
        <v>165</v>
      </c>
      <c r="I665" s="56">
        <v>165</v>
      </c>
      <c r="J665" s="59"/>
    </row>
    <row r="666" spans="1:10" s="60" customFormat="1" x14ac:dyDescent="0.25">
      <c r="A666" s="39">
        <v>665</v>
      </c>
      <c r="B666" s="56" t="s">
        <v>4870</v>
      </c>
      <c r="C666" s="56" t="s">
        <v>4869</v>
      </c>
      <c r="D666" s="56" t="s">
        <v>5057</v>
      </c>
      <c r="E666" s="56" t="s">
        <v>4982</v>
      </c>
      <c r="F666" s="57" t="s">
        <v>4983</v>
      </c>
      <c r="G666" s="58"/>
      <c r="H666" s="56">
        <v>132</v>
      </c>
      <c r="I666" s="56">
        <v>132</v>
      </c>
      <c r="J666" s="59"/>
    </row>
    <row r="667" spans="1:10" s="60" customFormat="1" x14ac:dyDescent="0.25">
      <c r="A667" s="39">
        <v>666</v>
      </c>
      <c r="B667" s="56" t="s">
        <v>525</v>
      </c>
      <c r="C667" s="56" t="s">
        <v>4871</v>
      </c>
      <c r="D667" s="56" t="s">
        <v>5057</v>
      </c>
      <c r="E667" s="56" t="s">
        <v>4984</v>
      </c>
      <c r="F667" s="57" t="s">
        <v>4985</v>
      </c>
      <c r="G667" s="58">
        <v>130306160948</v>
      </c>
      <c r="H667" s="56">
        <v>264</v>
      </c>
      <c r="I667" s="56">
        <v>264</v>
      </c>
      <c r="J667" s="59"/>
    </row>
    <row r="668" spans="1:10" s="60" customFormat="1" x14ac:dyDescent="0.25">
      <c r="A668" s="39">
        <v>667</v>
      </c>
      <c r="B668" s="56" t="s">
        <v>379</v>
      </c>
      <c r="C668" s="56" t="s">
        <v>4872</v>
      </c>
      <c r="D668" s="56" t="s">
        <v>5057</v>
      </c>
      <c r="E668" s="56" t="s">
        <v>4986</v>
      </c>
      <c r="F668" s="57" t="s">
        <v>4987</v>
      </c>
      <c r="G668" s="58">
        <v>130306160950</v>
      </c>
      <c r="H668" s="56">
        <v>198</v>
      </c>
      <c r="I668" s="56">
        <v>198</v>
      </c>
      <c r="J668" s="59"/>
    </row>
    <row r="669" spans="1:10" s="60" customFormat="1" x14ac:dyDescent="0.25">
      <c r="A669" s="39">
        <v>668</v>
      </c>
      <c r="B669" s="56" t="s">
        <v>4839</v>
      </c>
      <c r="C669" s="56" t="s">
        <v>4873</v>
      </c>
      <c r="D669" s="56" t="s">
        <v>5057</v>
      </c>
      <c r="E669" s="56" t="s">
        <v>4988</v>
      </c>
      <c r="F669" s="57" t="s">
        <v>4989</v>
      </c>
      <c r="G669" s="58">
        <v>130306160922</v>
      </c>
      <c r="H669" s="56">
        <v>149</v>
      </c>
      <c r="I669" s="56">
        <v>149</v>
      </c>
      <c r="J669" s="59"/>
    </row>
    <row r="670" spans="1:10" s="60" customFormat="1" x14ac:dyDescent="0.25">
      <c r="A670" s="39">
        <v>669</v>
      </c>
      <c r="B670" s="56" t="s">
        <v>760</v>
      </c>
      <c r="C670" s="56" t="s">
        <v>4873</v>
      </c>
      <c r="D670" s="56" t="s">
        <v>5057</v>
      </c>
      <c r="E670" s="56" t="s">
        <v>4990</v>
      </c>
      <c r="F670" s="57" t="s">
        <v>4991</v>
      </c>
      <c r="G670" s="58">
        <v>130306160933</v>
      </c>
      <c r="H670" s="56">
        <v>198</v>
      </c>
      <c r="I670" s="56">
        <v>198</v>
      </c>
      <c r="J670" s="59"/>
    </row>
    <row r="671" spans="1:10" s="60" customFormat="1" x14ac:dyDescent="0.25">
      <c r="A671" s="39">
        <v>670</v>
      </c>
      <c r="B671" s="56" t="s">
        <v>4874</v>
      </c>
      <c r="C671" s="56" t="s">
        <v>760</v>
      </c>
      <c r="D671" s="56" t="s">
        <v>5057</v>
      </c>
      <c r="E671" s="56" t="s">
        <v>4992</v>
      </c>
      <c r="F671" s="57" t="s">
        <v>4993</v>
      </c>
      <c r="G671" s="58"/>
      <c r="H671" s="56">
        <v>198</v>
      </c>
      <c r="I671" s="56">
        <v>198</v>
      </c>
      <c r="J671" s="59"/>
    </row>
    <row r="672" spans="1:10" s="60" customFormat="1" x14ac:dyDescent="0.25">
      <c r="A672" s="39">
        <v>671</v>
      </c>
      <c r="B672" s="56" t="s">
        <v>4875</v>
      </c>
      <c r="C672" s="56" t="s">
        <v>4876</v>
      </c>
      <c r="D672" s="56" t="s">
        <v>305</v>
      </c>
      <c r="E672" s="56" t="s">
        <v>4994</v>
      </c>
      <c r="F672" s="57" t="s">
        <v>4995</v>
      </c>
      <c r="G672" s="58">
        <v>130306160937</v>
      </c>
      <c r="H672" s="56">
        <v>99</v>
      </c>
      <c r="I672" s="56">
        <v>99</v>
      </c>
      <c r="J672" s="59"/>
    </row>
    <row r="673" spans="1:10" s="60" customFormat="1" x14ac:dyDescent="0.25">
      <c r="A673" s="39">
        <v>672</v>
      </c>
      <c r="B673" s="56" t="s">
        <v>576</v>
      </c>
      <c r="C673" s="56" t="s">
        <v>4871</v>
      </c>
      <c r="D673" s="56" t="s">
        <v>305</v>
      </c>
      <c r="E673" s="56" t="s">
        <v>4996</v>
      </c>
      <c r="F673" s="57" t="s">
        <v>4997</v>
      </c>
      <c r="G673" s="58">
        <v>130306160972</v>
      </c>
      <c r="H673" s="56">
        <v>313</v>
      </c>
      <c r="I673" s="56">
        <v>313</v>
      </c>
      <c r="J673" s="59"/>
    </row>
    <row r="674" spans="1:10" s="60" customFormat="1" x14ac:dyDescent="0.25">
      <c r="A674" s="39">
        <v>673</v>
      </c>
      <c r="B674" s="56" t="s">
        <v>4877</v>
      </c>
      <c r="C674" s="56" t="s">
        <v>831</v>
      </c>
      <c r="D674" s="56" t="s">
        <v>305</v>
      </c>
      <c r="E674" s="56" t="s">
        <v>4996</v>
      </c>
      <c r="F674" s="57" t="s">
        <v>4998</v>
      </c>
      <c r="G674" s="58"/>
      <c r="H674" s="56">
        <v>82</v>
      </c>
      <c r="I674" s="56">
        <v>82</v>
      </c>
      <c r="J674" s="59"/>
    </row>
    <row r="675" spans="1:10" s="60" customFormat="1" x14ac:dyDescent="0.25">
      <c r="A675" s="39">
        <v>674</v>
      </c>
      <c r="B675" s="56" t="s">
        <v>831</v>
      </c>
      <c r="C675" s="56" t="s">
        <v>4831</v>
      </c>
      <c r="D675" s="56" t="s">
        <v>305</v>
      </c>
      <c r="E675" s="56" t="s">
        <v>4999</v>
      </c>
      <c r="F675" s="57" t="s">
        <v>4797</v>
      </c>
      <c r="G675" s="58"/>
      <c r="H675" s="56">
        <v>198</v>
      </c>
      <c r="I675" s="56">
        <v>198</v>
      </c>
      <c r="J675" s="59"/>
    </row>
    <row r="676" spans="1:10" s="60" customFormat="1" x14ac:dyDescent="0.25">
      <c r="A676" s="39">
        <v>675</v>
      </c>
      <c r="B676" s="56" t="s">
        <v>1172</v>
      </c>
      <c r="C676" s="56" t="s">
        <v>4878</v>
      </c>
      <c r="D676" s="56" t="s">
        <v>305</v>
      </c>
      <c r="E676" s="56" t="s">
        <v>5000</v>
      </c>
      <c r="F676" s="57" t="s">
        <v>5001</v>
      </c>
      <c r="G676" s="58"/>
      <c r="H676" s="56">
        <v>111</v>
      </c>
      <c r="I676" s="56">
        <v>111</v>
      </c>
      <c r="J676" s="59"/>
    </row>
    <row r="677" spans="1:10" s="60" customFormat="1" x14ac:dyDescent="0.25">
      <c r="A677" s="39">
        <v>676</v>
      </c>
      <c r="B677" s="56" t="s">
        <v>1095</v>
      </c>
      <c r="C677" s="56" t="s">
        <v>4878</v>
      </c>
      <c r="D677" s="56" t="s">
        <v>305</v>
      </c>
      <c r="E677" s="56" t="s">
        <v>5002</v>
      </c>
      <c r="F677" s="62" t="s">
        <v>5003</v>
      </c>
      <c r="G677" s="58"/>
      <c r="H677" s="56">
        <v>45</v>
      </c>
      <c r="I677" s="56">
        <v>45</v>
      </c>
      <c r="J677" s="59"/>
    </row>
    <row r="678" spans="1:10" s="60" customFormat="1" x14ac:dyDescent="0.25">
      <c r="A678" s="39">
        <v>677</v>
      </c>
      <c r="B678" s="56" t="s">
        <v>952</v>
      </c>
      <c r="C678" s="56" t="s">
        <v>4879</v>
      </c>
      <c r="D678" s="56" t="s">
        <v>305</v>
      </c>
      <c r="E678" s="56" t="s">
        <v>5004</v>
      </c>
      <c r="F678" s="57" t="s">
        <v>5005</v>
      </c>
      <c r="G678" s="58"/>
      <c r="H678" s="56">
        <v>137</v>
      </c>
      <c r="I678" s="56">
        <v>137</v>
      </c>
      <c r="J678" s="59"/>
    </row>
    <row r="679" spans="1:10" s="60" customFormat="1" x14ac:dyDescent="0.25">
      <c r="A679" s="39">
        <v>678</v>
      </c>
      <c r="B679" s="56" t="s">
        <v>4880</v>
      </c>
      <c r="C679" s="56" t="s">
        <v>4881</v>
      </c>
      <c r="D679" s="56" t="s">
        <v>305</v>
      </c>
      <c r="E679" s="56" t="s">
        <v>5006</v>
      </c>
      <c r="F679" s="62" t="s">
        <v>5007</v>
      </c>
      <c r="G679" s="58">
        <v>130306160902</v>
      </c>
      <c r="H679" s="56">
        <v>181</v>
      </c>
      <c r="I679" s="56">
        <v>181</v>
      </c>
      <c r="J679" s="59"/>
    </row>
    <row r="680" spans="1:10" s="60" customFormat="1" x14ac:dyDescent="0.25">
      <c r="A680" s="39">
        <v>679</v>
      </c>
      <c r="B680" s="56" t="s">
        <v>4882</v>
      </c>
      <c r="C680" s="56" t="s">
        <v>733</v>
      </c>
      <c r="D680" s="56" t="s">
        <v>305</v>
      </c>
      <c r="E680" s="56" t="s">
        <v>5008</v>
      </c>
      <c r="F680" s="57" t="s">
        <v>5009</v>
      </c>
      <c r="G680" s="58"/>
      <c r="H680" s="56">
        <v>247</v>
      </c>
      <c r="I680" s="56">
        <v>247</v>
      </c>
      <c r="J680" s="59"/>
    </row>
    <row r="681" spans="1:10" s="60" customFormat="1" x14ac:dyDescent="0.25">
      <c r="A681" s="39">
        <v>680</v>
      </c>
      <c r="B681" s="56" t="s">
        <v>4883</v>
      </c>
      <c r="C681" s="56" t="s">
        <v>4884</v>
      </c>
      <c r="D681" s="56" t="s">
        <v>305</v>
      </c>
      <c r="E681" s="56" t="s">
        <v>5010</v>
      </c>
      <c r="F681" s="57" t="s">
        <v>5011</v>
      </c>
      <c r="G681" s="58">
        <v>130306160910</v>
      </c>
      <c r="H681" s="56">
        <v>65</v>
      </c>
      <c r="I681" s="56">
        <v>65</v>
      </c>
      <c r="J681" s="59"/>
    </row>
    <row r="682" spans="1:10" s="60" customFormat="1" x14ac:dyDescent="0.25">
      <c r="A682" s="39">
        <v>681</v>
      </c>
      <c r="B682" s="56" t="s">
        <v>1012</v>
      </c>
      <c r="C682" s="56" t="s">
        <v>4885</v>
      </c>
      <c r="D682" s="56" t="s">
        <v>305</v>
      </c>
      <c r="E682" s="56" t="s">
        <v>5012</v>
      </c>
      <c r="F682" s="57" t="s">
        <v>5013</v>
      </c>
      <c r="G682" s="58"/>
      <c r="H682" s="56">
        <v>198</v>
      </c>
      <c r="I682" s="56">
        <v>198</v>
      </c>
      <c r="J682" s="59"/>
    </row>
    <row r="683" spans="1:10" s="60" customFormat="1" x14ac:dyDescent="0.25">
      <c r="A683" s="39">
        <v>682</v>
      </c>
      <c r="B683" s="56" t="s">
        <v>4886</v>
      </c>
      <c r="C683" s="56" t="s">
        <v>4869</v>
      </c>
      <c r="D683" s="56" t="s">
        <v>305</v>
      </c>
      <c r="E683" s="56" t="s">
        <v>5014</v>
      </c>
      <c r="F683" s="57" t="s">
        <v>5015</v>
      </c>
      <c r="G683" s="58"/>
      <c r="H683" s="56">
        <v>495</v>
      </c>
      <c r="I683" s="56">
        <v>495</v>
      </c>
      <c r="J683" s="59"/>
    </row>
    <row r="684" spans="1:10" s="60" customFormat="1" x14ac:dyDescent="0.25">
      <c r="A684" s="39">
        <v>683</v>
      </c>
      <c r="B684" s="56" t="s">
        <v>4887</v>
      </c>
      <c r="C684" s="56" t="s">
        <v>845</v>
      </c>
      <c r="D684" s="56" t="s">
        <v>305</v>
      </c>
      <c r="E684" s="56" t="s">
        <v>5016</v>
      </c>
      <c r="F684" s="57" t="s">
        <v>5017</v>
      </c>
      <c r="G684" s="58"/>
      <c r="H684" s="56">
        <v>495</v>
      </c>
      <c r="I684" s="56">
        <v>495</v>
      </c>
      <c r="J684" s="59"/>
    </row>
    <row r="685" spans="1:10" s="60" customFormat="1" x14ac:dyDescent="0.25">
      <c r="A685" s="39">
        <v>684</v>
      </c>
      <c r="B685" s="56" t="s">
        <v>4888</v>
      </c>
      <c r="C685" s="56" t="s">
        <v>351</v>
      </c>
      <c r="D685" s="56" t="s">
        <v>305</v>
      </c>
      <c r="E685" s="56" t="s">
        <v>5018</v>
      </c>
      <c r="F685" s="57" t="s">
        <v>5019</v>
      </c>
      <c r="G685" s="58"/>
      <c r="H685" s="56">
        <v>231</v>
      </c>
      <c r="I685" s="56">
        <v>231</v>
      </c>
      <c r="J685" s="59"/>
    </row>
    <row r="686" spans="1:10" s="60" customFormat="1" x14ac:dyDescent="0.25">
      <c r="A686" s="39">
        <v>685</v>
      </c>
      <c r="B686" s="56" t="s">
        <v>4889</v>
      </c>
      <c r="C686" s="56" t="s">
        <v>4890</v>
      </c>
      <c r="D686" s="56" t="s">
        <v>305</v>
      </c>
      <c r="E686" s="56" t="s">
        <v>5020</v>
      </c>
      <c r="F686" s="57" t="s">
        <v>5021</v>
      </c>
      <c r="G686" s="58">
        <v>130306160898</v>
      </c>
      <c r="H686" s="56">
        <v>198</v>
      </c>
      <c r="I686" s="56">
        <v>198</v>
      </c>
      <c r="J686" s="59"/>
    </row>
    <row r="687" spans="1:10" s="60" customFormat="1" x14ac:dyDescent="0.25">
      <c r="A687" s="39">
        <v>686</v>
      </c>
      <c r="B687" s="56" t="s">
        <v>4891</v>
      </c>
      <c r="C687" s="56" t="s">
        <v>4850</v>
      </c>
      <c r="D687" s="56" t="s">
        <v>305</v>
      </c>
      <c r="E687" s="56" t="s">
        <v>5022</v>
      </c>
      <c r="F687" s="57" t="s">
        <v>5023</v>
      </c>
      <c r="G687" s="58"/>
      <c r="H687" s="56">
        <v>198</v>
      </c>
      <c r="I687" s="56">
        <v>198</v>
      </c>
      <c r="J687" s="59"/>
    </row>
    <row r="688" spans="1:10" s="60" customFormat="1" ht="31.5" x14ac:dyDescent="0.25">
      <c r="A688" s="39">
        <v>687</v>
      </c>
      <c r="B688" s="56" t="s">
        <v>4892</v>
      </c>
      <c r="C688" s="56" t="s">
        <v>4850</v>
      </c>
      <c r="D688" s="56" t="s">
        <v>305</v>
      </c>
      <c r="E688" s="56" t="s">
        <v>5024</v>
      </c>
      <c r="F688" s="57" t="s">
        <v>5025</v>
      </c>
      <c r="G688" s="58"/>
      <c r="H688" s="56">
        <v>198</v>
      </c>
      <c r="I688" s="56">
        <v>198</v>
      </c>
      <c r="J688" s="59"/>
    </row>
    <row r="689" spans="1:10" s="60" customFormat="1" x14ac:dyDescent="0.25">
      <c r="A689" s="39">
        <v>688</v>
      </c>
      <c r="B689" s="56" t="s">
        <v>4893</v>
      </c>
      <c r="C689" s="56" t="s">
        <v>4894</v>
      </c>
      <c r="D689" s="56" t="s">
        <v>305</v>
      </c>
      <c r="E689" s="56" t="s">
        <v>5026</v>
      </c>
      <c r="F689" s="57" t="s">
        <v>5027</v>
      </c>
      <c r="G689" s="58">
        <v>130306160980</v>
      </c>
      <c r="H689" s="56">
        <v>165</v>
      </c>
      <c r="I689" s="56">
        <v>165</v>
      </c>
      <c r="J689" s="59"/>
    </row>
    <row r="690" spans="1:10" s="60" customFormat="1" x14ac:dyDescent="0.25">
      <c r="A690" s="39">
        <v>689</v>
      </c>
      <c r="B690" s="56" t="s">
        <v>4895</v>
      </c>
      <c r="C690" s="56" t="s">
        <v>4896</v>
      </c>
      <c r="D690" s="56" t="s">
        <v>305</v>
      </c>
      <c r="E690" s="56" t="s">
        <v>5028</v>
      </c>
      <c r="F690" s="57" t="s">
        <v>5029</v>
      </c>
      <c r="G690" s="58">
        <v>130306160995</v>
      </c>
      <c r="H690" s="56">
        <v>660</v>
      </c>
      <c r="I690" s="56">
        <v>660</v>
      </c>
      <c r="J690" s="59"/>
    </row>
    <row r="691" spans="1:10" s="60" customFormat="1" x14ac:dyDescent="0.25">
      <c r="A691" s="39">
        <v>690</v>
      </c>
      <c r="B691" s="56" t="s">
        <v>4897</v>
      </c>
      <c r="C691" s="56" t="s">
        <v>4894</v>
      </c>
      <c r="D691" s="56" t="s">
        <v>305</v>
      </c>
      <c r="E691" s="56" t="s">
        <v>5030</v>
      </c>
      <c r="F691" s="57" t="s">
        <v>5031</v>
      </c>
      <c r="G691" s="58">
        <v>130306160946</v>
      </c>
      <c r="H691" s="56">
        <v>99</v>
      </c>
      <c r="I691" s="56">
        <v>99</v>
      </c>
      <c r="J691" s="59"/>
    </row>
    <row r="692" spans="1:10" s="60" customFormat="1" x14ac:dyDescent="0.25">
      <c r="A692" s="39">
        <v>691</v>
      </c>
      <c r="B692" s="56" t="s">
        <v>1395</v>
      </c>
      <c r="C692" s="56" t="s">
        <v>4898</v>
      </c>
      <c r="D692" s="56" t="s">
        <v>305</v>
      </c>
      <c r="E692" s="56" t="s">
        <v>5032</v>
      </c>
      <c r="F692" s="57" t="s">
        <v>5033</v>
      </c>
      <c r="G692" s="58">
        <v>130306160984</v>
      </c>
      <c r="H692" s="56">
        <v>330</v>
      </c>
      <c r="I692" s="56">
        <v>330</v>
      </c>
      <c r="J692" s="59"/>
    </row>
    <row r="693" spans="1:10" s="60" customFormat="1" x14ac:dyDescent="0.25">
      <c r="A693" s="39">
        <v>692</v>
      </c>
      <c r="B693" s="56" t="s">
        <v>4899</v>
      </c>
      <c r="C693" s="56" t="s">
        <v>4850</v>
      </c>
      <c r="D693" s="56" t="s">
        <v>305</v>
      </c>
      <c r="E693" s="56" t="s">
        <v>5034</v>
      </c>
      <c r="F693" s="57" t="s">
        <v>5035</v>
      </c>
      <c r="G693" s="58">
        <v>130306160976</v>
      </c>
      <c r="H693" s="56">
        <v>132</v>
      </c>
      <c r="I693" s="56">
        <v>132</v>
      </c>
      <c r="J693" s="59"/>
    </row>
    <row r="694" spans="1:10" s="60" customFormat="1" x14ac:dyDescent="0.25">
      <c r="A694" s="39">
        <v>693</v>
      </c>
      <c r="B694" s="56" t="s">
        <v>4900</v>
      </c>
      <c r="C694" s="56" t="s">
        <v>829</v>
      </c>
      <c r="D694" s="56" t="s">
        <v>305</v>
      </c>
      <c r="E694" s="56" t="s">
        <v>5036</v>
      </c>
      <c r="F694" s="57" t="s">
        <v>5037</v>
      </c>
      <c r="G694" s="58"/>
      <c r="H694" s="56">
        <v>38</v>
      </c>
      <c r="I694" s="56">
        <v>38</v>
      </c>
      <c r="J694" s="59"/>
    </row>
    <row r="695" spans="1:10" s="60" customFormat="1" x14ac:dyDescent="0.25">
      <c r="A695" s="39">
        <v>694</v>
      </c>
      <c r="B695" s="61" t="s">
        <v>377</v>
      </c>
      <c r="C695" s="61" t="s">
        <v>4901</v>
      </c>
      <c r="D695" s="61" t="s">
        <v>305</v>
      </c>
      <c r="E695" s="61" t="s">
        <v>5038</v>
      </c>
      <c r="F695" s="57" t="s">
        <v>5039</v>
      </c>
      <c r="G695" s="58">
        <v>130306160685</v>
      </c>
      <c r="H695" s="61">
        <v>99</v>
      </c>
      <c r="I695" s="61">
        <v>99</v>
      </c>
      <c r="J695" s="59"/>
    </row>
    <row r="696" spans="1:10" s="60" customFormat="1" x14ac:dyDescent="0.25">
      <c r="A696" s="39">
        <v>695</v>
      </c>
      <c r="B696" s="61" t="s">
        <v>4902</v>
      </c>
      <c r="C696" s="61" t="s">
        <v>829</v>
      </c>
      <c r="D696" s="61" t="s">
        <v>305</v>
      </c>
      <c r="E696" s="61" t="s">
        <v>5040</v>
      </c>
      <c r="F696" s="57" t="s">
        <v>5041</v>
      </c>
      <c r="G696" s="58">
        <v>130306160941</v>
      </c>
      <c r="H696" s="61">
        <v>71</v>
      </c>
      <c r="I696" s="61">
        <v>71</v>
      </c>
      <c r="J696" s="59"/>
    </row>
    <row r="697" spans="1:10" s="60" customFormat="1" x14ac:dyDescent="0.25">
      <c r="A697" s="39">
        <v>696</v>
      </c>
      <c r="B697" s="61" t="s">
        <v>829</v>
      </c>
      <c r="C697" s="61" t="s">
        <v>4903</v>
      </c>
      <c r="D697" s="61" t="s">
        <v>305</v>
      </c>
      <c r="E697" s="61" t="s">
        <v>5042</v>
      </c>
      <c r="F697" s="57" t="s">
        <v>5043</v>
      </c>
      <c r="G697" s="58">
        <v>130306160955</v>
      </c>
      <c r="H697" s="61">
        <v>726</v>
      </c>
      <c r="I697" s="61">
        <v>726</v>
      </c>
      <c r="J697" s="59"/>
    </row>
    <row r="698" spans="1:10" s="60" customFormat="1" x14ac:dyDescent="0.25">
      <c r="A698" s="39">
        <v>697</v>
      </c>
      <c r="B698" s="61" t="s">
        <v>4904</v>
      </c>
      <c r="C698" s="61" t="s">
        <v>4905</v>
      </c>
      <c r="D698" s="61" t="s">
        <v>305</v>
      </c>
      <c r="E698" s="61" t="s">
        <v>5042</v>
      </c>
      <c r="F698" s="57" t="s">
        <v>5044</v>
      </c>
      <c r="G698" s="58"/>
      <c r="H698" s="61"/>
      <c r="I698" s="61"/>
      <c r="J698" s="59"/>
    </row>
    <row r="699" spans="1:10" s="60" customFormat="1" x14ac:dyDescent="0.25">
      <c r="A699" s="39">
        <v>698</v>
      </c>
      <c r="B699" s="61" t="s">
        <v>4906</v>
      </c>
      <c r="C699" s="61" t="s">
        <v>4907</v>
      </c>
      <c r="D699" s="61" t="s">
        <v>305</v>
      </c>
      <c r="E699" s="61" t="s">
        <v>5045</v>
      </c>
      <c r="F699" s="57" t="s">
        <v>5046</v>
      </c>
      <c r="G699" s="58">
        <v>130306160932</v>
      </c>
      <c r="H699" s="61">
        <v>22</v>
      </c>
      <c r="I699" s="61">
        <v>22</v>
      </c>
      <c r="J699" s="59"/>
    </row>
    <row r="700" spans="1:10" s="60" customFormat="1" x14ac:dyDescent="0.25">
      <c r="A700" s="39">
        <v>699</v>
      </c>
      <c r="B700" s="61" t="s">
        <v>4908</v>
      </c>
      <c r="C700" s="61" t="s">
        <v>4909</v>
      </c>
      <c r="D700" s="61" t="s">
        <v>305</v>
      </c>
      <c r="E700" s="61" t="s">
        <v>5047</v>
      </c>
      <c r="F700" s="57" t="s">
        <v>5048</v>
      </c>
      <c r="G700" s="58">
        <v>130306160927</v>
      </c>
      <c r="H700" s="61">
        <v>99</v>
      </c>
      <c r="I700" s="61">
        <v>99</v>
      </c>
      <c r="J700" s="59"/>
    </row>
    <row r="701" spans="1:10" s="60" customFormat="1" x14ac:dyDescent="0.25">
      <c r="A701" s="39">
        <v>700</v>
      </c>
      <c r="B701" s="61" t="s">
        <v>4910</v>
      </c>
      <c r="C701" s="61" t="s">
        <v>4907</v>
      </c>
      <c r="D701" s="61" t="s">
        <v>305</v>
      </c>
      <c r="E701" s="61" t="s">
        <v>5049</v>
      </c>
      <c r="F701" s="57" t="s">
        <v>5050</v>
      </c>
      <c r="G701" s="58"/>
      <c r="H701" s="61">
        <v>185</v>
      </c>
      <c r="I701" s="61">
        <v>185</v>
      </c>
      <c r="J701" s="59"/>
    </row>
    <row r="702" spans="1:10" s="60" customFormat="1" x14ac:dyDescent="0.25">
      <c r="A702" s="39">
        <v>701</v>
      </c>
      <c r="B702" s="61" t="s">
        <v>4911</v>
      </c>
      <c r="C702" s="61" t="s">
        <v>4912</v>
      </c>
      <c r="D702" s="61" t="s">
        <v>305</v>
      </c>
      <c r="E702" s="61" t="s">
        <v>5051</v>
      </c>
      <c r="F702" s="57" t="s">
        <v>5052</v>
      </c>
      <c r="G702" s="58">
        <v>130306160942</v>
      </c>
      <c r="H702" s="61">
        <v>138</v>
      </c>
      <c r="I702" s="61">
        <v>138</v>
      </c>
      <c r="J702" s="59"/>
    </row>
    <row r="703" spans="1:10" s="60" customFormat="1" x14ac:dyDescent="0.25">
      <c r="A703" s="39">
        <v>702</v>
      </c>
      <c r="B703" s="61" t="s">
        <v>4913</v>
      </c>
      <c r="C703" s="61" t="s">
        <v>4914</v>
      </c>
      <c r="D703" s="61" t="s">
        <v>305</v>
      </c>
      <c r="E703" s="61" t="s">
        <v>5053</v>
      </c>
      <c r="F703" s="57" t="s">
        <v>5054</v>
      </c>
      <c r="G703" s="58">
        <v>130306160994</v>
      </c>
      <c r="H703" s="61">
        <v>66</v>
      </c>
      <c r="I703" s="61">
        <v>66</v>
      </c>
      <c r="J703" s="59"/>
    </row>
    <row r="704" spans="1:10" s="60" customFormat="1" x14ac:dyDescent="0.25">
      <c r="A704" s="39">
        <v>703</v>
      </c>
      <c r="B704" s="61" t="s">
        <v>4915</v>
      </c>
      <c r="C704" s="61" t="s">
        <v>4913</v>
      </c>
      <c r="D704" s="61" t="s">
        <v>305</v>
      </c>
      <c r="E704" s="61" t="s">
        <v>5055</v>
      </c>
      <c r="F704" s="57" t="s">
        <v>5056</v>
      </c>
      <c r="G704" s="58">
        <v>130306160970</v>
      </c>
      <c r="H704" s="61">
        <v>132</v>
      </c>
      <c r="I704" s="61">
        <v>132</v>
      </c>
      <c r="J704" s="59"/>
    </row>
    <row r="705" spans="1:10" x14ac:dyDescent="0.25">
      <c r="A705" s="39">
        <v>704</v>
      </c>
      <c r="B705" s="3" t="s">
        <v>2229</v>
      </c>
      <c r="C705" s="75" t="s">
        <v>2228</v>
      </c>
      <c r="D705" s="75" t="s">
        <v>305</v>
      </c>
      <c r="E705" s="75" t="str">
        <f t="shared" si="6"/>
        <v>০</v>
      </c>
      <c r="F705" s="22" t="str">
        <f>"8119457815487"</f>
        <v>8119457815487</v>
      </c>
      <c r="G705" s="75" t="str">
        <f>"৮০৮"</f>
        <v>৮০৮</v>
      </c>
      <c r="H705" s="75" t="s">
        <v>314</v>
      </c>
      <c r="I705" s="75" t="s">
        <v>314</v>
      </c>
      <c r="J705" s="4"/>
    </row>
    <row r="706" spans="1:10" x14ac:dyDescent="0.25">
      <c r="A706" s="39">
        <v>705</v>
      </c>
      <c r="B706" s="3" t="s">
        <v>1637</v>
      </c>
      <c r="C706" s="75" t="s">
        <v>2230</v>
      </c>
      <c r="D706" s="75" t="s">
        <v>305</v>
      </c>
      <c r="E706" s="75" t="str">
        <f t="shared" si="6"/>
        <v>০</v>
      </c>
      <c r="F706" s="22" t="str">
        <f>"8119457816296"</f>
        <v>8119457816296</v>
      </c>
      <c r="G706" s="75" t="str">
        <f>"৮০৭"</f>
        <v>৮০৭</v>
      </c>
      <c r="H706" s="75" t="s">
        <v>323</v>
      </c>
      <c r="I706" s="75" t="s">
        <v>323</v>
      </c>
      <c r="J706" s="4"/>
    </row>
    <row r="707" spans="1:10" x14ac:dyDescent="0.25">
      <c r="A707" s="39">
        <v>706</v>
      </c>
      <c r="B707" s="3" t="s">
        <v>2232</v>
      </c>
      <c r="C707" s="75" t="s">
        <v>2231</v>
      </c>
      <c r="D707" s="75" t="s">
        <v>305</v>
      </c>
      <c r="E707" s="75" t="str">
        <f t="shared" si="6"/>
        <v>০</v>
      </c>
      <c r="F707" s="22" t="str">
        <f>"8119457815108"</f>
        <v>8119457815108</v>
      </c>
      <c r="G707" s="75" t="str">
        <f>"৮০৬"</f>
        <v>৮০৬</v>
      </c>
      <c r="H707" s="75" t="s">
        <v>324</v>
      </c>
      <c r="I707" s="75" t="s">
        <v>324</v>
      </c>
      <c r="J707" s="4"/>
    </row>
    <row r="708" spans="1:10" x14ac:dyDescent="0.25">
      <c r="A708" s="39">
        <v>707</v>
      </c>
      <c r="B708" s="3" t="s">
        <v>2233</v>
      </c>
      <c r="C708" s="75" t="s">
        <v>1871</v>
      </c>
      <c r="D708" s="75" t="s">
        <v>305</v>
      </c>
      <c r="E708" s="75" t="str">
        <f t="shared" si="6"/>
        <v>০</v>
      </c>
      <c r="F708" s="22" t="str">
        <f>"8119457811191"</f>
        <v>8119457811191</v>
      </c>
      <c r="G708" s="75" t="str">
        <f>"৮০৫"</f>
        <v>৮০৫</v>
      </c>
      <c r="H708" s="75" t="s">
        <v>325</v>
      </c>
      <c r="I708" s="75" t="s">
        <v>325</v>
      </c>
      <c r="J708" s="4"/>
    </row>
    <row r="709" spans="1:10" x14ac:dyDescent="0.25">
      <c r="A709" s="39">
        <v>708</v>
      </c>
      <c r="B709" s="3" t="s">
        <v>2235</v>
      </c>
      <c r="C709" s="75" t="s">
        <v>2234</v>
      </c>
      <c r="D709" s="75" t="s">
        <v>305</v>
      </c>
      <c r="E709" s="75" t="str">
        <f t="shared" si="6"/>
        <v>০</v>
      </c>
      <c r="F709" s="22" t="str">
        <f>"8119457815559"</f>
        <v>8119457815559</v>
      </c>
      <c r="G709" s="75" t="str">
        <f>"৮০৪"</f>
        <v>৮০৪</v>
      </c>
      <c r="H709" s="75" t="s">
        <v>319</v>
      </c>
      <c r="I709" s="75" t="s">
        <v>319</v>
      </c>
      <c r="J709" s="4"/>
    </row>
    <row r="710" spans="1:10" x14ac:dyDescent="0.25">
      <c r="A710" s="39">
        <v>709</v>
      </c>
      <c r="B710" s="3" t="s">
        <v>2236</v>
      </c>
      <c r="C710" s="75" t="s">
        <v>1672</v>
      </c>
      <c r="D710" s="75" t="s">
        <v>305</v>
      </c>
      <c r="E710" s="75" t="str">
        <f t="shared" si="6"/>
        <v>০</v>
      </c>
      <c r="F710" s="22" t="str">
        <f>"8119457815233"</f>
        <v>8119457815233</v>
      </c>
      <c r="G710" s="75" t="str">
        <f>"৮০৩"</f>
        <v>৮০৩</v>
      </c>
      <c r="H710" s="75" t="s">
        <v>326</v>
      </c>
      <c r="I710" s="75" t="s">
        <v>326</v>
      </c>
      <c r="J710" s="4"/>
    </row>
    <row r="711" spans="1:10" x14ac:dyDescent="0.25">
      <c r="A711" s="39">
        <v>710</v>
      </c>
      <c r="B711" s="3" t="s">
        <v>2129</v>
      </c>
      <c r="C711" s="75" t="s">
        <v>1610</v>
      </c>
      <c r="D711" s="75" t="s">
        <v>305</v>
      </c>
      <c r="E711" s="75" t="str">
        <f t="shared" si="6"/>
        <v>০</v>
      </c>
      <c r="F711" s="22" t="str">
        <f>"8119457815415"</f>
        <v>8119457815415</v>
      </c>
      <c r="G711" s="75" t="str">
        <f>"৮০২"</f>
        <v>৮০২</v>
      </c>
      <c r="H711" s="75" t="s">
        <v>327</v>
      </c>
      <c r="I711" s="75" t="s">
        <v>327</v>
      </c>
      <c r="J711" s="4"/>
    </row>
    <row r="712" spans="1:10" x14ac:dyDescent="0.25">
      <c r="A712" s="39">
        <v>711</v>
      </c>
      <c r="B712" s="3" t="s">
        <v>1997</v>
      </c>
      <c r="C712" s="75" t="s">
        <v>1677</v>
      </c>
      <c r="D712" s="75" t="s">
        <v>305</v>
      </c>
      <c r="E712" s="75" t="str">
        <f t="shared" si="6"/>
        <v>০</v>
      </c>
      <c r="F712" s="22" t="str">
        <f>"8119457815331"</f>
        <v>8119457815331</v>
      </c>
      <c r="G712" s="75" t="str">
        <f>"৮০১"</f>
        <v>৮০১</v>
      </c>
      <c r="H712" s="75" t="s">
        <v>328</v>
      </c>
      <c r="I712" s="75" t="s">
        <v>328</v>
      </c>
      <c r="J712" s="4"/>
    </row>
    <row r="713" spans="1:10" x14ac:dyDescent="0.25">
      <c r="A713" s="39">
        <v>712</v>
      </c>
      <c r="B713" s="3" t="s">
        <v>2238</v>
      </c>
      <c r="C713" s="75" t="s">
        <v>2237</v>
      </c>
      <c r="D713" s="75" t="s">
        <v>305</v>
      </c>
      <c r="E713" s="75" t="str">
        <f t="shared" si="6"/>
        <v>০</v>
      </c>
      <c r="F713" s="22" t="str">
        <f>"8119457815291"</f>
        <v>8119457815291</v>
      </c>
      <c r="G713" s="75" t="str">
        <f>"৮০০"</f>
        <v>৮০০</v>
      </c>
      <c r="H713" s="75" t="s">
        <v>329</v>
      </c>
      <c r="I713" s="75" t="s">
        <v>329</v>
      </c>
      <c r="J713" s="4"/>
    </row>
    <row r="714" spans="1:10" x14ac:dyDescent="0.25">
      <c r="A714" s="39">
        <v>713</v>
      </c>
      <c r="B714" s="3" t="s">
        <v>2240</v>
      </c>
      <c r="C714" s="75" t="s">
        <v>2239</v>
      </c>
      <c r="D714" s="75" t="s">
        <v>305</v>
      </c>
      <c r="E714" s="75" t="str">
        <f t="shared" si="6"/>
        <v>০</v>
      </c>
      <c r="F714" s="22" t="str">
        <f>"8119457815173"</f>
        <v>8119457815173</v>
      </c>
      <c r="G714" s="75" t="str">
        <f>"৭৯৯"</f>
        <v>৭৯৯</v>
      </c>
      <c r="H714" s="75" t="s">
        <v>330</v>
      </c>
      <c r="I714" s="75" t="s">
        <v>330</v>
      </c>
      <c r="J714" s="4"/>
    </row>
    <row r="715" spans="1:10" x14ac:dyDescent="0.25">
      <c r="A715" s="39">
        <v>714</v>
      </c>
      <c r="B715" s="3" t="s">
        <v>2242</v>
      </c>
      <c r="C715" s="75" t="s">
        <v>2241</v>
      </c>
      <c r="D715" s="75" t="s">
        <v>305</v>
      </c>
      <c r="E715" s="75" t="str">
        <f t="shared" si="6"/>
        <v>০</v>
      </c>
      <c r="F715" s="22" t="str">
        <f>"8119457815158"</f>
        <v>8119457815158</v>
      </c>
      <c r="G715" s="75" t="str">
        <f>"৭৯৮"</f>
        <v>৭৯৮</v>
      </c>
      <c r="H715" s="75" t="s">
        <v>319</v>
      </c>
      <c r="I715" s="75" t="s">
        <v>319</v>
      </c>
      <c r="J715" s="4"/>
    </row>
    <row r="716" spans="1:10" x14ac:dyDescent="0.25">
      <c r="A716" s="39">
        <v>715</v>
      </c>
      <c r="B716" s="3" t="s">
        <v>2147</v>
      </c>
      <c r="C716" s="75" t="s">
        <v>2243</v>
      </c>
      <c r="D716" s="75" t="s">
        <v>305</v>
      </c>
      <c r="E716" s="75" t="str">
        <f t="shared" si="6"/>
        <v>০</v>
      </c>
      <c r="F716" s="22" t="str">
        <f>"8119457816471"</f>
        <v>8119457816471</v>
      </c>
      <c r="G716" s="75" t="str">
        <f>"৭৯৭"</f>
        <v>৭৯৭</v>
      </c>
      <c r="H716" s="75" t="s">
        <v>317</v>
      </c>
      <c r="I716" s="75" t="s">
        <v>317</v>
      </c>
      <c r="J716" s="4"/>
    </row>
    <row r="717" spans="1:10" x14ac:dyDescent="0.25">
      <c r="A717" s="39">
        <v>716</v>
      </c>
      <c r="B717" s="3" t="s">
        <v>2244</v>
      </c>
      <c r="C717" s="75" t="s">
        <v>1870</v>
      </c>
      <c r="D717" s="75" t="s">
        <v>305</v>
      </c>
      <c r="E717" s="75" t="str">
        <f t="shared" si="6"/>
        <v>০</v>
      </c>
      <c r="F717" s="22" t="str">
        <f>"8119457815289"</f>
        <v>8119457815289</v>
      </c>
      <c r="G717" s="75" t="str">
        <f>"৭৯৬"</f>
        <v>৭৯৬</v>
      </c>
      <c r="H717" s="75" t="s">
        <v>323</v>
      </c>
      <c r="I717" s="75" t="s">
        <v>323</v>
      </c>
      <c r="J717" s="4"/>
    </row>
    <row r="718" spans="1:10" x14ac:dyDescent="0.25">
      <c r="A718" s="39">
        <v>717</v>
      </c>
      <c r="B718" s="3" t="s">
        <v>1622</v>
      </c>
      <c r="C718" s="75" t="s">
        <v>2245</v>
      </c>
      <c r="D718" s="75" t="s">
        <v>305</v>
      </c>
      <c r="E718" s="75" t="str">
        <f t="shared" si="6"/>
        <v>০</v>
      </c>
      <c r="F718" s="22" t="str">
        <f>"8119457816442"</f>
        <v>8119457816442</v>
      </c>
      <c r="G718" s="75" t="str">
        <f>"৭৯৫"</f>
        <v>৭৯৫</v>
      </c>
      <c r="H718" s="75" t="s">
        <v>326</v>
      </c>
      <c r="I718" s="75" t="s">
        <v>326</v>
      </c>
      <c r="J718" s="4"/>
    </row>
    <row r="719" spans="1:10" x14ac:dyDescent="0.25">
      <c r="A719" s="39">
        <v>718</v>
      </c>
      <c r="B719" s="3" t="s">
        <v>1955</v>
      </c>
      <c r="C719" s="75" t="s">
        <v>1622</v>
      </c>
      <c r="D719" s="75" t="s">
        <v>305</v>
      </c>
      <c r="E719" s="75" t="str">
        <f t="shared" si="6"/>
        <v>০</v>
      </c>
      <c r="F719" s="22" t="str">
        <f>"8119457816365"</f>
        <v>8119457816365</v>
      </c>
      <c r="G719" s="75" t="str">
        <f>"৭৯৪"</f>
        <v>৭৯৪</v>
      </c>
      <c r="H719" s="75" t="s">
        <v>331</v>
      </c>
      <c r="I719" s="75" t="s">
        <v>331</v>
      </c>
      <c r="J719" s="4"/>
    </row>
    <row r="720" spans="1:10" x14ac:dyDescent="0.25">
      <c r="A720" s="39">
        <v>719</v>
      </c>
      <c r="B720" s="3" t="s">
        <v>2247</v>
      </c>
      <c r="C720" s="75" t="s">
        <v>2246</v>
      </c>
      <c r="D720" s="75" t="s">
        <v>305</v>
      </c>
      <c r="E720" s="75" t="str">
        <f t="shared" si="6"/>
        <v>০</v>
      </c>
      <c r="F720" s="22" t="str">
        <f>"8119457815534"</f>
        <v>8119457815534</v>
      </c>
      <c r="G720" s="75" t="str">
        <f>"৭৯২"</f>
        <v>৭৯২</v>
      </c>
      <c r="H720" s="75" t="s">
        <v>329</v>
      </c>
      <c r="I720" s="75" t="s">
        <v>329</v>
      </c>
      <c r="J720" s="4"/>
    </row>
    <row r="721" spans="1:10" x14ac:dyDescent="0.25">
      <c r="A721" s="39">
        <v>720</v>
      </c>
      <c r="B721" s="3" t="s">
        <v>2249</v>
      </c>
      <c r="C721" s="75" t="s">
        <v>2248</v>
      </c>
      <c r="D721" s="75" t="s">
        <v>305</v>
      </c>
      <c r="E721" s="75" t="str">
        <f t="shared" si="6"/>
        <v>০</v>
      </c>
      <c r="F721" s="22" t="str">
        <f>"8119457815532"</f>
        <v>8119457815532</v>
      </c>
      <c r="G721" s="75" t="str">
        <f>"৭৯১"</f>
        <v>৭৯১</v>
      </c>
      <c r="H721" s="75" t="s">
        <v>332</v>
      </c>
      <c r="I721" s="75" t="s">
        <v>332</v>
      </c>
      <c r="J721" s="4"/>
    </row>
    <row r="722" spans="1:10" x14ac:dyDescent="0.25">
      <c r="A722" s="39">
        <v>721</v>
      </c>
      <c r="B722" s="3" t="s">
        <v>2251</v>
      </c>
      <c r="C722" s="75" t="s">
        <v>2250</v>
      </c>
      <c r="D722" s="75" t="s">
        <v>305</v>
      </c>
      <c r="E722" s="75" t="str">
        <f t="shared" si="6"/>
        <v>০</v>
      </c>
      <c r="F722" s="22" t="str">
        <f>"8119457815464"</f>
        <v>8119457815464</v>
      </c>
      <c r="G722" s="75" t="str">
        <f>"৭৯০"</f>
        <v>৭৯০</v>
      </c>
      <c r="H722" s="75" t="s">
        <v>316</v>
      </c>
      <c r="I722" s="75" t="s">
        <v>316</v>
      </c>
      <c r="J722" s="4"/>
    </row>
    <row r="723" spans="1:10" x14ac:dyDescent="0.25">
      <c r="A723" s="39">
        <v>722</v>
      </c>
      <c r="B723" s="3" t="s">
        <v>2252</v>
      </c>
      <c r="C723" s="75" t="s">
        <v>1780</v>
      </c>
      <c r="D723" s="75" t="s">
        <v>305</v>
      </c>
      <c r="E723" s="75" t="str">
        <f t="shared" si="6"/>
        <v>০</v>
      </c>
      <c r="F723" s="22" t="str">
        <f>"8119457815073"</f>
        <v>8119457815073</v>
      </c>
      <c r="G723" s="75" t="str">
        <f>"৭৮৯"</f>
        <v>৭৮৯</v>
      </c>
      <c r="H723" s="75" t="s">
        <v>330</v>
      </c>
      <c r="I723" s="75" t="s">
        <v>330</v>
      </c>
      <c r="J723" s="4"/>
    </row>
    <row r="724" spans="1:10" x14ac:dyDescent="0.25">
      <c r="A724" s="39">
        <v>723</v>
      </c>
      <c r="B724" s="3" t="s">
        <v>2254</v>
      </c>
      <c r="C724" s="75" t="s">
        <v>2253</v>
      </c>
      <c r="D724" s="75" t="s">
        <v>305</v>
      </c>
      <c r="E724" s="75" t="str">
        <f t="shared" si="6"/>
        <v>০</v>
      </c>
      <c r="F724" s="22" t="str">
        <f>"8119457815376"</f>
        <v>8119457815376</v>
      </c>
      <c r="G724" s="75" t="str">
        <f>"৭৮৮"</f>
        <v>৭৮৮</v>
      </c>
      <c r="H724" s="75" t="s">
        <v>333</v>
      </c>
      <c r="I724" s="75" t="s">
        <v>333</v>
      </c>
      <c r="J724" s="4"/>
    </row>
    <row r="725" spans="1:10" x14ac:dyDescent="0.25">
      <c r="A725" s="39">
        <v>724</v>
      </c>
      <c r="B725" s="3" t="s">
        <v>2255</v>
      </c>
      <c r="C725" s="75" t="s">
        <v>1622</v>
      </c>
      <c r="D725" s="75" t="s">
        <v>305</v>
      </c>
      <c r="E725" s="75" t="str">
        <f t="shared" si="6"/>
        <v>০</v>
      </c>
      <c r="F725" s="22" t="str">
        <f>"8119457815407"</f>
        <v>8119457815407</v>
      </c>
      <c r="G725" s="75" t="str">
        <f>"৭৮৭"</f>
        <v>৭৮৭</v>
      </c>
      <c r="H725" s="75" t="s">
        <v>319</v>
      </c>
      <c r="I725" s="75" t="s">
        <v>319</v>
      </c>
      <c r="J725" s="4"/>
    </row>
    <row r="726" spans="1:10" x14ac:dyDescent="0.25">
      <c r="A726" s="39">
        <v>725</v>
      </c>
      <c r="B726" s="3" t="s">
        <v>2257</v>
      </c>
      <c r="C726" s="75" t="s">
        <v>2256</v>
      </c>
      <c r="D726" s="75" t="s">
        <v>305</v>
      </c>
      <c r="E726" s="75" t="str">
        <f t="shared" si="6"/>
        <v>০</v>
      </c>
      <c r="F726" s="22" t="str">
        <f>"8119457815490"</f>
        <v>8119457815490</v>
      </c>
      <c r="G726" s="75" t="str">
        <f>"৭৮৬"</f>
        <v>৭৮৬</v>
      </c>
      <c r="H726" s="75" t="s">
        <v>322</v>
      </c>
      <c r="I726" s="75" t="s">
        <v>322</v>
      </c>
      <c r="J726" s="4"/>
    </row>
    <row r="727" spans="1:10" x14ac:dyDescent="0.25">
      <c r="A727" s="39">
        <v>726</v>
      </c>
      <c r="B727" s="3" t="s">
        <v>1578</v>
      </c>
      <c r="C727" s="75" t="s">
        <v>2067</v>
      </c>
      <c r="D727" s="75" t="s">
        <v>305</v>
      </c>
      <c r="E727" s="75" t="str">
        <f t="shared" si="6"/>
        <v>০</v>
      </c>
      <c r="F727" s="22" t="str">
        <f>"8119457815382"</f>
        <v>8119457815382</v>
      </c>
      <c r="G727" s="75" t="str">
        <f>"৭৮৫"</f>
        <v>৭৮৫</v>
      </c>
      <c r="H727" s="75" t="s">
        <v>319</v>
      </c>
      <c r="I727" s="75" t="s">
        <v>319</v>
      </c>
      <c r="J727" s="4"/>
    </row>
    <row r="728" spans="1:10" x14ac:dyDescent="0.25">
      <c r="A728" s="39">
        <v>727</v>
      </c>
      <c r="B728" s="3" t="s">
        <v>2259</v>
      </c>
      <c r="C728" s="75" t="s">
        <v>2258</v>
      </c>
      <c r="D728" s="75" t="s">
        <v>305</v>
      </c>
      <c r="E728" s="75" t="str">
        <f t="shared" si="6"/>
        <v>০</v>
      </c>
      <c r="F728" s="22" t="str">
        <f>"8119457815538"</f>
        <v>8119457815538</v>
      </c>
      <c r="G728" s="75" t="str">
        <f>"৭৮৪"</f>
        <v>৭৮৪</v>
      </c>
      <c r="H728" s="75" t="s">
        <v>315</v>
      </c>
      <c r="I728" s="75" t="s">
        <v>315</v>
      </c>
      <c r="J728" s="4"/>
    </row>
    <row r="729" spans="1:10" x14ac:dyDescent="0.25">
      <c r="A729" s="39">
        <v>728</v>
      </c>
      <c r="B729" s="3" t="s">
        <v>1542</v>
      </c>
      <c r="C729" s="75" t="s">
        <v>2260</v>
      </c>
      <c r="D729" s="75" t="s">
        <v>305</v>
      </c>
      <c r="E729" s="75" t="str">
        <f t="shared" si="6"/>
        <v>০</v>
      </c>
      <c r="F729" s="22" t="str">
        <f>"8119457815422"</f>
        <v>8119457815422</v>
      </c>
      <c r="G729" s="75" t="str">
        <f>"৭৮৩"</f>
        <v>৭৮৩</v>
      </c>
      <c r="H729" s="75" t="s">
        <v>316</v>
      </c>
      <c r="I729" s="75" t="s">
        <v>316</v>
      </c>
      <c r="J729" s="4"/>
    </row>
    <row r="730" spans="1:10" x14ac:dyDescent="0.25">
      <c r="A730" s="39">
        <v>729</v>
      </c>
      <c r="B730" s="3" t="s">
        <v>2079</v>
      </c>
      <c r="C730" s="75" t="s">
        <v>1572</v>
      </c>
      <c r="D730" s="75" t="s">
        <v>305</v>
      </c>
      <c r="E730" s="75" t="str">
        <f t="shared" si="6"/>
        <v>০</v>
      </c>
      <c r="F730" s="22" t="str">
        <f>"8119457815487"</f>
        <v>8119457815487</v>
      </c>
      <c r="G730" s="75" t="str">
        <f>"৭৮২"</f>
        <v>৭৮২</v>
      </c>
      <c r="H730" s="75" t="s">
        <v>317</v>
      </c>
      <c r="I730" s="75" t="s">
        <v>317</v>
      </c>
      <c r="J730" s="4"/>
    </row>
    <row r="731" spans="1:10" x14ac:dyDescent="0.25">
      <c r="A731" s="39">
        <v>730</v>
      </c>
      <c r="B731" s="3" t="s">
        <v>2261</v>
      </c>
      <c r="C731" s="75" t="s">
        <v>2260</v>
      </c>
      <c r="D731" s="75" t="s">
        <v>305</v>
      </c>
      <c r="E731" s="75" t="str">
        <f t="shared" si="6"/>
        <v>০</v>
      </c>
      <c r="F731" s="22" t="str">
        <f>"8119457816557"</f>
        <v>8119457816557</v>
      </c>
      <c r="G731" s="75" t="str">
        <f>"৭৮১"</f>
        <v>৭৮১</v>
      </c>
      <c r="H731" s="75" t="s">
        <v>318</v>
      </c>
      <c r="I731" s="75" t="s">
        <v>318</v>
      </c>
      <c r="J731" s="4"/>
    </row>
    <row r="732" spans="1:10" x14ac:dyDescent="0.25">
      <c r="A732" s="39">
        <v>731</v>
      </c>
      <c r="B732" s="3" t="s">
        <v>2262</v>
      </c>
      <c r="C732" s="75" t="s">
        <v>2149</v>
      </c>
      <c r="D732" s="75" t="s">
        <v>305</v>
      </c>
      <c r="E732" s="75" t="str">
        <f t="shared" si="6"/>
        <v>০</v>
      </c>
      <c r="F732" s="22" t="str">
        <f>"8119457816591"</f>
        <v>8119457816591</v>
      </c>
      <c r="G732" s="75" t="str">
        <f>"৭৮০"</f>
        <v>৭৮০</v>
      </c>
      <c r="H732" s="75" t="s">
        <v>319</v>
      </c>
      <c r="I732" s="75" t="s">
        <v>319</v>
      </c>
      <c r="J732" s="4"/>
    </row>
    <row r="733" spans="1:10" x14ac:dyDescent="0.25">
      <c r="A733" s="39">
        <v>732</v>
      </c>
      <c r="B733" s="3" t="s">
        <v>2264</v>
      </c>
      <c r="C733" s="75" t="s">
        <v>2263</v>
      </c>
      <c r="D733" s="75" t="s">
        <v>305</v>
      </c>
      <c r="E733" s="75" t="str">
        <f t="shared" si="6"/>
        <v>০</v>
      </c>
      <c r="F733" s="22" t="str">
        <f>"8119457816594"</f>
        <v>8119457816594</v>
      </c>
      <c r="G733" s="75" t="str">
        <f>"৭৭৯"</f>
        <v>৭৭৯</v>
      </c>
      <c r="H733" s="75" t="s">
        <v>320</v>
      </c>
      <c r="I733" s="75" t="s">
        <v>320</v>
      </c>
      <c r="J733" s="4"/>
    </row>
    <row r="734" spans="1:10" x14ac:dyDescent="0.25">
      <c r="A734" s="39">
        <v>733</v>
      </c>
      <c r="B734" s="3" t="s">
        <v>1628</v>
      </c>
      <c r="C734" s="75" t="s">
        <v>2263</v>
      </c>
      <c r="D734" s="75" t="s">
        <v>305</v>
      </c>
      <c r="E734" s="75" t="str">
        <f t="shared" si="6"/>
        <v>০</v>
      </c>
      <c r="F734" s="22" t="str">
        <f>"8119457816696"</f>
        <v>8119457816696</v>
      </c>
      <c r="G734" s="75" t="str">
        <f>"৭৭৮"</f>
        <v>৭৭৮</v>
      </c>
      <c r="H734" s="75" t="s">
        <v>315</v>
      </c>
      <c r="I734" s="75" t="s">
        <v>315</v>
      </c>
      <c r="J734" s="4"/>
    </row>
    <row r="735" spans="1:10" x14ac:dyDescent="0.25">
      <c r="A735" s="39">
        <v>734</v>
      </c>
      <c r="B735" s="3" t="s">
        <v>2266</v>
      </c>
      <c r="C735" s="75" t="s">
        <v>2265</v>
      </c>
      <c r="D735" s="75" t="s">
        <v>305</v>
      </c>
      <c r="E735" s="75" t="str">
        <f t="shared" si="6"/>
        <v>০</v>
      </c>
      <c r="F735" s="22" t="str">
        <f>"8119457816603"</f>
        <v>8119457816603</v>
      </c>
      <c r="G735" s="75" t="str">
        <f>"৭৭৭"</f>
        <v>৭৭৭</v>
      </c>
      <c r="H735" s="75" t="s">
        <v>313</v>
      </c>
      <c r="I735" s="75" t="s">
        <v>313</v>
      </c>
      <c r="J735" s="4"/>
    </row>
    <row r="736" spans="1:10" x14ac:dyDescent="0.25">
      <c r="A736" s="39">
        <v>735</v>
      </c>
      <c r="B736" s="3" t="s">
        <v>2101</v>
      </c>
      <c r="C736" s="75" t="s">
        <v>2267</v>
      </c>
      <c r="D736" s="75" t="s">
        <v>305</v>
      </c>
      <c r="E736" s="75" t="str">
        <f t="shared" si="6"/>
        <v>০</v>
      </c>
      <c r="F736" s="22" t="str">
        <f>"8119457816804"</f>
        <v>8119457816804</v>
      </c>
      <c r="G736" s="75" t="str">
        <f>"৭৭৬"</f>
        <v>৭৭৬</v>
      </c>
      <c r="H736" s="75" t="s">
        <v>314</v>
      </c>
      <c r="I736" s="75" t="s">
        <v>314</v>
      </c>
      <c r="J736" s="4"/>
    </row>
    <row r="737" spans="1:10" x14ac:dyDescent="0.25">
      <c r="A737" s="39">
        <v>736</v>
      </c>
      <c r="B737" s="3" t="s">
        <v>2268</v>
      </c>
      <c r="C737" s="75" t="s">
        <v>2186</v>
      </c>
      <c r="D737" s="75" t="s">
        <v>305</v>
      </c>
      <c r="E737" s="75" t="str">
        <f t="shared" si="6"/>
        <v>০</v>
      </c>
      <c r="F737" s="22" t="str">
        <f>"8119457816705"</f>
        <v>8119457816705</v>
      </c>
      <c r="G737" s="75" t="str">
        <f>"৭৭৫"</f>
        <v>৭৭৫</v>
      </c>
      <c r="H737" s="75" t="s">
        <v>321</v>
      </c>
      <c r="I737" s="75" t="s">
        <v>321</v>
      </c>
      <c r="J737" s="4"/>
    </row>
    <row r="738" spans="1:10" x14ac:dyDescent="0.25">
      <c r="A738" s="39">
        <v>737</v>
      </c>
      <c r="B738" s="3" t="s">
        <v>2270</v>
      </c>
      <c r="C738" s="75" t="s">
        <v>2269</v>
      </c>
      <c r="D738" s="75" t="s">
        <v>305</v>
      </c>
      <c r="E738" s="75" t="str">
        <f t="shared" si="6"/>
        <v>০</v>
      </c>
      <c r="F738" s="22" t="str">
        <f>"8119457000203"</f>
        <v>8119457000203</v>
      </c>
      <c r="G738" s="75" t="str">
        <f>"৭৭৪"</f>
        <v>৭৭৪</v>
      </c>
      <c r="H738" s="75" t="s">
        <v>322</v>
      </c>
      <c r="I738" s="75" t="s">
        <v>322</v>
      </c>
      <c r="J738" s="4"/>
    </row>
    <row r="739" spans="1:10" x14ac:dyDescent="0.25">
      <c r="A739" s="39">
        <v>738</v>
      </c>
      <c r="B739" s="3" t="s">
        <v>2271</v>
      </c>
      <c r="C739" s="75" t="s">
        <v>2238</v>
      </c>
      <c r="D739" s="75" t="s">
        <v>305</v>
      </c>
      <c r="E739" s="75" t="str">
        <f t="shared" si="6"/>
        <v>০</v>
      </c>
      <c r="F739" s="22" t="str">
        <f>"8119457811529"</f>
        <v>8119457811529</v>
      </c>
      <c r="G739" s="75" t="str">
        <f>"৭৭৩"</f>
        <v>৭৭৩</v>
      </c>
      <c r="H739" s="75" t="s">
        <v>314</v>
      </c>
      <c r="I739" s="75" t="s">
        <v>314</v>
      </c>
      <c r="J739" s="4"/>
    </row>
    <row r="740" spans="1:10" x14ac:dyDescent="0.25">
      <c r="A740" s="39">
        <v>739</v>
      </c>
      <c r="B740" s="11" t="s">
        <v>2231</v>
      </c>
      <c r="C740" s="75" t="s">
        <v>2272</v>
      </c>
      <c r="D740" s="75" t="s">
        <v>305</v>
      </c>
      <c r="E740" s="75" t="str">
        <f t="shared" si="6"/>
        <v>০</v>
      </c>
      <c r="F740" s="22" t="str">
        <f>"8119457816727"</f>
        <v>8119457816727</v>
      </c>
      <c r="G740" s="75" t="str">
        <f>"৭৭২"</f>
        <v>৭৭২</v>
      </c>
      <c r="H740" s="75" t="s">
        <v>323</v>
      </c>
      <c r="I740" s="75" t="s">
        <v>323</v>
      </c>
      <c r="J740" s="4"/>
    </row>
    <row r="741" spans="1:10" x14ac:dyDescent="0.25">
      <c r="A741" s="39">
        <v>740</v>
      </c>
      <c r="B741" s="3" t="s">
        <v>2274</v>
      </c>
      <c r="C741" s="75" t="s">
        <v>2273</v>
      </c>
      <c r="D741" s="75" t="s">
        <v>305</v>
      </c>
      <c r="E741" s="75" t="str">
        <f t="shared" si="6"/>
        <v>০</v>
      </c>
      <c r="F741" s="22" t="str">
        <f>"8119457816560"</f>
        <v>8119457816560</v>
      </c>
      <c r="G741" s="75" t="str">
        <f>"৭৭১"</f>
        <v>৭৭১</v>
      </c>
      <c r="H741" s="75" t="s">
        <v>324</v>
      </c>
      <c r="I741" s="75" t="s">
        <v>324</v>
      </c>
      <c r="J741" s="4"/>
    </row>
    <row r="742" spans="1:10" x14ac:dyDescent="0.25">
      <c r="A742" s="39">
        <v>741</v>
      </c>
      <c r="B742" s="3" t="s">
        <v>2253</v>
      </c>
      <c r="C742" s="75" t="s">
        <v>1871</v>
      </c>
      <c r="D742" s="75" t="s">
        <v>305</v>
      </c>
      <c r="E742" s="75" t="str">
        <f t="shared" si="6"/>
        <v>০</v>
      </c>
      <c r="F742" s="22" t="str">
        <f>"8119457816798"</f>
        <v>8119457816798</v>
      </c>
      <c r="G742" s="75" t="str">
        <f>"৭৭০"</f>
        <v>৭৭০</v>
      </c>
      <c r="H742" s="75" t="s">
        <v>325</v>
      </c>
      <c r="I742" s="75" t="s">
        <v>325</v>
      </c>
      <c r="J742" s="4"/>
    </row>
    <row r="743" spans="1:10" x14ac:dyDescent="0.25">
      <c r="A743" s="39">
        <v>742</v>
      </c>
      <c r="B743" s="3" t="s">
        <v>2152</v>
      </c>
      <c r="C743" s="78" t="s">
        <v>2237</v>
      </c>
      <c r="D743" s="75" t="s">
        <v>305</v>
      </c>
      <c r="E743" s="75" t="str">
        <f t="shared" si="6"/>
        <v>০</v>
      </c>
      <c r="F743" s="22" t="str">
        <f>"8119457816602"</f>
        <v>8119457816602</v>
      </c>
      <c r="G743" s="75" t="str">
        <f>"৭৬৯"</f>
        <v>৭৬৯</v>
      </c>
      <c r="H743" s="75" t="s">
        <v>319</v>
      </c>
      <c r="I743" s="75" t="s">
        <v>319</v>
      </c>
      <c r="J743" s="4"/>
    </row>
    <row r="744" spans="1:10" x14ac:dyDescent="0.25">
      <c r="A744" s="39">
        <v>743</v>
      </c>
      <c r="B744" s="3" t="s">
        <v>1562</v>
      </c>
      <c r="C744" s="75" t="s">
        <v>1896</v>
      </c>
      <c r="D744" s="75" t="s">
        <v>305</v>
      </c>
      <c r="E744" s="75" t="str">
        <f t="shared" si="6"/>
        <v>০</v>
      </c>
      <c r="F744" s="22" t="str">
        <f>"8119457816821"</f>
        <v>8119457816821</v>
      </c>
      <c r="G744" s="75" t="str">
        <f>"৭৬৮"</f>
        <v>৭৬৮</v>
      </c>
      <c r="H744" s="75" t="s">
        <v>326</v>
      </c>
      <c r="I744" s="75" t="s">
        <v>326</v>
      </c>
      <c r="J744" s="4"/>
    </row>
    <row r="745" spans="1:10" x14ac:dyDescent="0.25">
      <c r="A745" s="39">
        <v>744</v>
      </c>
      <c r="B745" s="3" t="s">
        <v>2276</v>
      </c>
      <c r="C745" s="75" t="s">
        <v>2275</v>
      </c>
      <c r="D745" s="75" t="s">
        <v>305</v>
      </c>
      <c r="E745" s="75" t="str">
        <f t="shared" si="6"/>
        <v>০</v>
      </c>
      <c r="F745" s="22" t="str">
        <f>"8119457816822"</f>
        <v>8119457816822</v>
      </c>
      <c r="G745" s="75" t="str">
        <f>"৭৬৭"</f>
        <v>৭৬৭</v>
      </c>
      <c r="H745" s="75" t="s">
        <v>327</v>
      </c>
      <c r="I745" s="75" t="s">
        <v>327</v>
      </c>
      <c r="J745" s="4"/>
    </row>
    <row r="746" spans="1:10" x14ac:dyDescent="0.25">
      <c r="A746" s="39">
        <v>745</v>
      </c>
      <c r="B746" s="3" t="s">
        <v>1997</v>
      </c>
      <c r="C746" s="75" t="s">
        <v>2277</v>
      </c>
      <c r="D746" s="75" t="s">
        <v>305</v>
      </c>
      <c r="E746" s="75" t="str">
        <f t="shared" si="6"/>
        <v>০</v>
      </c>
      <c r="F746" s="22" t="str">
        <f>"8119457816665"</f>
        <v>8119457816665</v>
      </c>
      <c r="G746" s="75" t="str">
        <f>"৭৬৬"</f>
        <v>৭৬৬</v>
      </c>
      <c r="H746" s="75" t="s">
        <v>328</v>
      </c>
      <c r="I746" s="75" t="s">
        <v>328</v>
      </c>
      <c r="J746" s="4"/>
    </row>
    <row r="747" spans="1:10" x14ac:dyDescent="0.25">
      <c r="A747" s="39">
        <v>746</v>
      </c>
      <c r="B747" s="3" t="s">
        <v>2279</v>
      </c>
      <c r="C747" s="75" t="s">
        <v>2278</v>
      </c>
      <c r="D747" s="75" t="s">
        <v>305</v>
      </c>
      <c r="E747" s="75" t="str">
        <f t="shared" si="6"/>
        <v>০</v>
      </c>
      <c r="F747" s="22" t="str">
        <f>"8119457816609"</f>
        <v>8119457816609</v>
      </c>
      <c r="G747" s="75" t="str">
        <f>"৭৬৫"</f>
        <v>৭৬৫</v>
      </c>
      <c r="H747" s="75" t="s">
        <v>329</v>
      </c>
      <c r="I747" s="75" t="s">
        <v>329</v>
      </c>
      <c r="J747" s="4"/>
    </row>
    <row r="748" spans="1:10" x14ac:dyDescent="0.25">
      <c r="A748" s="39">
        <v>747</v>
      </c>
      <c r="B748" s="3" t="s">
        <v>2281</v>
      </c>
      <c r="C748" s="75" t="s">
        <v>2280</v>
      </c>
      <c r="D748" s="75" t="s">
        <v>305</v>
      </c>
      <c r="E748" s="75" t="str">
        <f t="shared" si="6"/>
        <v>০</v>
      </c>
      <c r="F748" s="22" t="str">
        <f>"8119457816837"</f>
        <v>8119457816837</v>
      </c>
      <c r="G748" s="75" t="str">
        <f>"৭৬৪"</f>
        <v>৭৬৪</v>
      </c>
      <c r="H748" s="75" t="s">
        <v>330</v>
      </c>
      <c r="I748" s="75" t="s">
        <v>330</v>
      </c>
      <c r="J748" s="4"/>
    </row>
    <row r="749" spans="1:10" x14ac:dyDescent="0.25">
      <c r="A749" s="39">
        <v>748</v>
      </c>
      <c r="B749" s="3" t="s">
        <v>1982</v>
      </c>
      <c r="C749" s="75" t="s">
        <v>2282</v>
      </c>
      <c r="D749" s="75" t="s">
        <v>305</v>
      </c>
      <c r="E749" s="75" t="str">
        <f t="shared" ref="E749:E812" si="7">"০"</f>
        <v>০</v>
      </c>
      <c r="F749" s="22" t="str">
        <f>"8119457817588"</f>
        <v>8119457817588</v>
      </c>
      <c r="G749" s="75" t="str">
        <f>"৭৬৩"</f>
        <v>৭৬৩</v>
      </c>
      <c r="H749" s="75" t="s">
        <v>319</v>
      </c>
      <c r="I749" s="75" t="s">
        <v>319</v>
      </c>
      <c r="J749" s="4"/>
    </row>
    <row r="750" spans="1:10" x14ac:dyDescent="0.25">
      <c r="A750" s="39">
        <v>749</v>
      </c>
      <c r="B750" s="3" t="s">
        <v>2284</v>
      </c>
      <c r="C750" s="75" t="s">
        <v>2283</v>
      </c>
      <c r="D750" s="75" t="s">
        <v>305</v>
      </c>
      <c r="E750" s="75" t="str">
        <f t="shared" si="7"/>
        <v>০</v>
      </c>
      <c r="F750" s="22" t="str">
        <f>"8119457816745"</f>
        <v>8119457816745</v>
      </c>
      <c r="G750" s="75" t="str">
        <f>"৭৬২"</f>
        <v>৭৬২</v>
      </c>
      <c r="H750" s="75" t="s">
        <v>317</v>
      </c>
      <c r="I750" s="75" t="s">
        <v>317</v>
      </c>
      <c r="J750" s="4"/>
    </row>
    <row r="751" spans="1:10" x14ac:dyDescent="0.25">
      <c r="A751" s="39">
        <v>750</v>
      </c>
      <c r="B751" s="3" t="s">
        <v>2285</v>
      </c>
      <c r="C751" s="75" t="s">
        <v>2185</v>
      </c>
      <c r="D751" s="75" t="s">
        <v>305</v>
      </c>
      <c r="E751" s="75" t="str">
        <f t="shared" si="7"/>
        <v>০</v>
      </c>
      <c r="F751" s="22" t="str">
        <f>"8119457816838"</f>
        <v>8119457816838</v>
      </c>
      <c r="G751" s="75" t="str">
        <f>"৭৬১"</f>
        <v>৭৬১</v>
      </c>
      <c r="H751" s="75" t="s">
        <v>323</v>
      </c>
      <c r="I751" s="75" t="s">
        <v>323</v>
      </c>
      <c r="J751" s="4"/>
    </row>
    <row r="752" spans="1:10" x14ac:dyDescent="0.25">
      <c r="A752" s="39">
        <v>751</v>
      </c>
      <c r="B752" s="11" t="s">
        <v>1532</v>
      </c>
      <c r="C752" s="75" t="s">
        <v>2286</v>
      </c>
      <c r="D752" s="75" t="s">
        <v>305</v>
      </c>
      <c r="E752" s="75" t="str">
        <f t="shared" si="7"/>
        <v>০</v>
      </c>
      <c r="F752" s="22" t="str">
        <f>"8119457811531"</f>
        <v>8119457811531</v>
      </c>
      <c r="G752" s="75" t="str">
        <f>"৭৬০"</f>
        <v>৭৬০</v>
      </c>
      <c r="H752" s="75" t="s">
        <v>326</v>
      </c>
      <c r="I752" s="75" t="s">
        <v>326</v>
      </c>
      <c r="J752" s="4"/>
    </row>
    <row r="753" spans="1:10" x14ac:dyDescent="0.25">
      <c r="A753" s="39">
        <v>752</v>
      </c>
      <c r="B753" s="11" t="s">
        <v>2606</v>
      </c>
      <c r="C753" s="75" t="s">
        <v>2287</v>
      </c>
      <c r="D753" s="75" t="s">
        <v>305</v>
      </c>
      <c r="E753" s="75" t="str">
        <f t="shared" si="7"/>
        <v>০</v>
      </c>
      <c r="F753" s="22" t="str">
        <f>"8119457000202"</f>
        <v>8119457000202</v>
      </c>
      <c r="G753" s="75" t="str">
        <f>"৭৫৯"</f>
        <v>৭৫৯</v>
      </c>
      <c r="H753" s="75" t="s">
        <v>331</v>
      </c>
      <c r="I753" s="75" t="s">
        <v>331</v>
      </c>
      <c r="J753" s="4"/>
    </row>
    <row r="754" spans="1:10" x14ac:dyDescent="0.25">
      <c r="A754" s="39">
        <v>753</v>
      </c>
      <c r="B754" s="11" t="s">
        <v>3201</v>
      </c>
      <c r="C754" s="75" t="s">
        <v>2288</v>
      </c>
      <c r="D754" s="75" t="s">
        <v>305</v>
      </c>
      <c r="E754" s="75" t="str">
        <f t="shared" si="7"/>
        <v>০</v>
      </c>
      <c r="F754" s="22" t="str">
        <f>"8119457816553"</f>
        <v>8119457816553</v>
      </c>
      <c r="G754" s="75" t="str">
        <f>"৭৫৮"</f>
        <v>৭৫৮</v>
      </c>
      <c r="H754" s="75" t="s">
        <v>329</v>
      </c>
      <c r="I754" s="75" t="s">
        <v>329</v>
      </c>
      <c r="J754" s="4"/>
    </row>
    <row r="755" spans="1:10" x14ac:dyDescent="0.25">
      <c r="A755" s="39">
        <v>754</v>
      </c>
      <c r="B755" s="11" t="s">
        <v>4376</v>
      </c>
      <c r="C755" s="75" t="s">
        <v>2289</v>
      </c>
      <c r="D755" s="75" t="s">
        <v>305</v>
      </c>
      <c r="E755" s="75" t="str">
        <f t="shared" si="7"/>
        <v>০</v>
      </c>
      <c r="F755" s="22" t="str">
        <f>"8119457816801"</f>
        <v>8119457816801</v>
      </c>
      <c r="G755" s="75" t="str">
        <f>"৭৫৭"</f>
        <v>৭৫৭</v>
      </c>
      <c r="H755" s="75" t="s">
        <v>332</v>
      </c>
      <c r="I755" s="75" t="s">
        <v>332</v>
      </c>
      <c r="J755" s="4"/>
    </row>
    <row r="756" spans="1:10" x14ac:dyDescent="0.25">
      <c r="A756" s="39">
        <v>755</v>
      </c>
      <c r="B756" s="3" t="s">
        <v>2290</v>
      </c>
      <c r="C756" s="75" t="s">
        <v>2031</v>
      </c>
      <c r="D756" s="75" t="s">
        <v>305</v>
      </c>
      <c r="E756" s="75" t="str">
        <f t="shared" si="7"/>
        <v>০</v>
      </c>
      <c r="F756" s="22" t="str">
        <f>"8119457816557"</f>
        <v>8119457816557</v>
      </c>
      <c r="G756" s="75" t="str">
        <f>"৭৫৬"</f>
        <v>৭৫৬</v>
      </c>
      <c r="H756" s="75" t="s">
        <v>316</v>
      </c>
      <c r="I756" s="75" t="s">
        <v>316</v>
      </c>
      <c r="J756" s="4"/>
    </row>
    <row r="757" spans="1:10" x14ac:dyDescent="0.25">
      <c r="A757" s="39">
        <v>756</v>
      </c>
      <c r="B757" s="11" t="s">
        <v>1535</v>
      </c>
      <c r="C757" s="75" t="s">
        <v>2241</v>
      </c>
      <c r="D757" s="75" t="s">
        <v>305</v>
      </c>
      <c r="E757" s="75" t="str">
        <f t="shared" si="7"/>
        <v>০</v>
      </c>
      <c r="F757" s="22" t="str">
        <f>"8119457816591"</f>
        <v>8119457816591</v>
      </c>
      <c r="G757" s="75" t="str">
        <f>"৭৫৫"</f>
        <v>৭৫৫</v>
      </c>
      <c r="H757" s="75" t="s">
        <v>330</v>
      </c>
      <c r="I757" s="75" t="s">
        <v>330</v>
      </c>
      <c r="J757" s="4"/>
    </row>
    <row r="758" spans="1:10" x14ac:dyDescent="0.25">
      <c r="A758" s="39">
        <v>757</v>
      </c>
      <c r="B758" s="11" t="s">
        <v>4377</v>
      </c>
      <c r="C758" s="75" t="s">
        <v>2291</v>
      </c>
      <c r="D758" s="75" t="s">
        <v>305</v>
      </c>
      <c r="E758" s="75" t="str">
        <f t="shared" si="7"/>
        <v>০</v>
      </c>
      <c r="F758" s="22" t="str">
        <f>"8119457816594"</f>
        <v>8119457816594</v>
      </c>
      <c r="G758" s="75" t="str">
        <f>"৭৫৪"</f>
        <v>৭৫৪</v>
      </c>
      <c r="H758" s="75" t="s">
        <v>333</v>
      </c>
      <c r="I758" s="75" t="s">
        <v>333</v>
      </c>
      <c r="J758" s="4"/>
    </row>
    <row r="759" spans="1:10" x14ac:dyDescent="0.25">
      <c r="A759" s="39">
        <v>758</v>
      </c>
      <c r="B759" s="11" t="s">
        <v>4378</v>
      </c>
      <c r="C759" s="75" t="s">
        <v>2292</v>
      </c>
      <c r="D759" s="75" t="s">
        <v>305</v>
      </c>
      <c r="E759" s="75" t="str">
        <f t="shared" si="7"/>
        <v>০</v>
      </c>
      <c r="F759" s="22" t="str">
        <f>"8119457816696"</f>
        <v>8119457816696</v>
      </c>
      <c r="G759" s="75" t="str">
        <f>"৭৫৩"</f>
        <v>৭৫৩</v>
      </c>
      <c r="H759" s="75" t="s">
        <v>319</v>
      </c>
      <c r="I759" s="75" t="s">
        <v>319</v>
      </c>
      <c r="J759" s="4"/>
    </row>
    <row r="760" spans="1:10" x14ac:dyDescent="0.25">
      <c r="A760" s="39">
        <v>759</v>
      </c>
      <c r="B760" s="11" t="s">
        <v>4379</v>
      </c>
      <c r="C760" s="75" t="s">
        <v>1704</v>
      </c>
      <c r="D760" s="75" t="s">
        <v>305</v>
      </c>
      <c r="E760" s="75" t="str">
        <f t="shared" si="7"/>
        <v>০</v>
      </c>
      <c r="F760" s="22" t="str">
        <f>"8119457816603"</f>
        <v>8119457816603</v>
      </c>
      <c r="G760" s="75" t="str">
        <f>"৭৫২"</f>
        <v>৭৫২</v>
      </c>
      <c r="H760" s="75" t="s">
        <v>322</v>
      </c>
      <c r="I760" s="75" t="s">
        <v>322</v>
      </c>
      <c r="J760" s="4"/>
    </row>
    <row r="761" spans="1:10" x14ac:dyDescent="0.25">
      <c r="A761" s="39">
        <v>760</v>
      </c>
      <c r="B761" s="3" t="s">
        <v>2294</v>
      </c>
      <c r="C761" s="75" t="s">
        <v>2293</v>
      </c>
      <c r="D761" s="75" t="s">
        <v>305</v>
      </c>
      <c r="E761" s="75" t="str">
        <f t="shared" si="7"/>
        <v>০</v>
      </c>
      <c r="F761" s="22" t="str">
        <f>"8119457816804"</f>
        <v>8119457816804</v>
      </c>
      <c r="G761" s="75" t="str">
        <f>"৭৫১"</f>
        <v>৭৫১</v>
      </c>
      <c r="H761" s="75" t="s">
        <v>319</v>
      </c>
      <c r="I761" s="75" t="s">
        <v>319</v>
      </c>
      <c r="J761" s="4"/>
    </row>
    <row r="762" spans="1:10" x14ac:dyDescent="0.25">
      <c r="A762" s="39">
        <v>761</v>
      </c>
      <c r="B762" s="3" t="s">
        <v>2295</v>
      </c>
      <c r="C762" s="75" t="s">
        <v>2072</v>
      </c>
      <c r="D762" s="75" t="s">
        <v>305</v>
      </c>
      <c r="E762" s="75" t="str">
        <f t="shared" si="7"/>
        <v>০</v>
      </c>
      <c r="F762" s="22" t="str">
        <f>"8119457816705"</f>
        <v>8119457816705</v>
      </c>
      <c r="G762" s="75" t="str">
        <f>"৭৫০"</f>
        <v>৭৫০</v>
      </c>
      <c r="H762" s="75" t="s">
        <v>313</v>
      </c>
      <c r="I762" s="75" t="s">
        <v>313</v>
      </c>
      <c r="J762" s="4"/>
    </row>
    <row r="763" spans="1:10" x14ac:dyDescent="0.25">
      <c r="A763" s="39">
        <v>762</v>
      </c>
      <c r="B763" s="3" t="s">
        <v>2040</v>
      </c>
      <c r="C763" s="75" t="s">
        <v>2296</v>
      </c>
      <c r="D763" s="75" t="s">
        <v>305</v>
      </c>
      <c r="E763" s="75" t="str">
        <f t="shared" si="7"/>
        <v>০</v>
      </c>
      <c r="F763" s="22" t="str">
        <f>"8119457000203"</f>
        <v>8119457000203</v>
      </c>
      <c r="G763" s="75" t="str">
        <f>"৭৪৯"</f>
        <v>৭৪৯</v>
      </c>
      <c r="H763" s="75" t="s">
        <v>314</v>
      </c>
      <c r="I763" s="75" t="s">
        <v>314</v>
      </c>
      <c r="J763" s="4"/>
    </row>
    <row r="764" spans="1:10" x14ac:dyDescent="0.25">
      <c r="A764" s="39">
        <v>763</v>
      </c>
      <c r="B764" s="3" t="s">
        <v>2298</v>
      </c>
      <c r="C764" s="75" t="s">
        <v>2297</v>
      </c>
      <c r="D764" s="75" t="s">
        <v>305</v>
      </c>
      <c r="E764" s="75" t="str">
        <f t="shared" si="7"/>
        <v>০</v>
      </c>
      <c r="F764" s="22" t="str">
        <f>"8119457811529"</f>
        <v>8119457811529</v>
      </c>
      <c r="G764" s="75" t="str">
        <f>"৭৪৮"</f>
        <v>৭৪৮</v>
      </c>
      <c r="H764" s="75" t="s">
        <v>315</v>
      </c>
      <c r="I764" s="75" t="s">
        <v>315</v>
      </c>
      <c r="J764" s="4"/>
    </row>
    <row r="765" spans="1:10" x14ac:dyDescent="0.25">
      <c r="A765" s="39">
        <v>764</v>
      </c>
      <c r="B765" s="3" t="s">
        <v>2300</v>
      </c>
      <c r="C765" s="75" t="s">
        <v>2299</v>
      </c>
      <c r="D765" s="75" t="s">
        <v>305</v>
      </c>
      <c r="E765" s="75" t="str">
        <f t="shared" si="7"/>
        <v>০</v>
      </c>
      <c r="F765" s="22" t="str">
        <f>"8119457816727"</f>
        <v>8119457816727</v>
      </c>
      <c r="G765" s="75" t="str">
        <f>"৭৪৭"</f>
        <v>৭৪৭</v>
      </c>
      <c r="H765" s="75" t="s">
        <v>316</v>
      </c>
      <c r="I765" s="75" t="s">
        <v>316</v>
      </c>
      <c r="J765" s="4"/>
    </row>
    <row r="766" spans="1:10" x14ac:dyDescent="0.25">
      <c r="A766" s="39">
        <v>765</v>
      </c>
      <c r="B766" s="3" t="s">
        <v>4264</v>
      </c>
      <c r="C766" s="75" t="s">
        <v>2072</v>
      </c>
      <c r="D766" s="75" t="s">
        <v>305</v>
      </c>
      <c r="E766" s="75" t="str">
        <f t="shared" si="7"/>
        <v>০</v>
      </c>
      <c r="F766" s="22" t="str">
        <f>"8119457816560"</f>
        <v>8119457816560</v>
      </c>
      <c r="G766" s="75" t="str">
        <f>"৭৪৬"</f>
        <v>৭৪৬</v>
      </c>
      <c r="H766" s="75" t="s">
        <v>317</v>
      </c>
      <c r="I766" s="75" t="s">
        <v>317</v>
      </c>
      <c r="J766" s="4"/>
    </row>
    <row r="767" spans="1:10" x14ac:dyDescent="0.25">
      <c r="A767" s="39">
        <v>766</v>
      </c>
      <c r="B767" s="3" t="s">
        <v>4263</v>
      </c>
      <c r="C767" s="75" t="s">
        <v>2275</v>
      </c>
      <c r="D767" s="75" t="s">
        <v>305</v>
      </c>
      <c r="E767" s="75" t="str">
        <f t="shared" si="7"/>
        <v>০</v>
      </c>
      <c r="F767" s="22" t="str">
        <f>"8119457816798"</f>
        <v>8119457816798</v>
      </c>
      <c r="G767" s="75" t="str">
        <f>"৭৪৫"</f>
        <v>৭৪৫</v>
      </c>
      <c r="H767" s="75" t="s">
        <v>318</v>
      </c>
      <c r="I767" s="75" t="s">
        <v>318</v>
      </c>
      <c r="J767" s="4"/>
    </row>
    <row r="768" spans="1:10" x14ac:dyDescent="0.25">
      <c r="A768" s="39">
        <v>767</v>
      </c>
      <c r="B768" s="3" t="s">
        <v>3017</v>
      </c>
      <c r="C768" s="75" t="s">
        <v>2283</v>
      </c>
      <c r="D768" s="75" t="s">
        <v>305</v>
      </c>
      <c r="E768" s="75" t="str">
        <f t="shared" si="7"/>
        <v>০</v>
      </c>
      <c r="F768" s="22" t="str">
        <f>"8119457816602"</f>
        <v>8119457816602</v>
      </c>
      <c r="G768" s="75" t="str">
        <f>"৭৪৪"</f>
        <v>৭৪৪</v>
      </c>
      <c r="H768" s="75" t="s">
        <v>319</v>
      </c>
      <c r="I768" s="75" t="s">
        <v>319</v>
      </c>
      <c r="J768" s="4"/>
    </row>
    <row r="769" spans="1:10" x14ac:dyDescent="0.25">
      <c r="A769" s="39">
        <v>768</v>
      </c>
      <c r="B769" s="3" t="s">
        <v>1672</v>
      </c>
      <c r="C769" s="75" t="s">
        <v>1677</v>
      </c>
      <c r="D769" s="75" t="s">
        <v>305</v>
      </c>
      <c r="E769" s="75" t="str">
        <f t="shared" si="7"/>
        <v>০</v>
      </c>
      <c r="F769" s="22" t="str">
        <f>"8119457816821"</f>
        <v>8119457816821</v>
      </c>
      <c r="G769" s="75" t="str">
        <f>"৭৪৩"</f>
        <v>৭৪৩</v>
      </c>
      <c r="H769" s="75" t="s">
        <v>320</v>
      </c>
      <c r="I769" s="75" t="s">
        <v>320</v>
      </c>
      <c r="J769" s="4"/>
    </row>
    <row r="770" spans="1:10" x14ac:dyDescent="0.25">
      <c r="A770" s="39">
        <v>769</v>
      </c>
      <c r="B770" s="3" t="s">
        <v>2077</v>
      </c>
      <c r="C770" s="75" t="s">
        <v>2054</v>
      </c>
      <c r="D770" s="75" t="s">
        <v>305</v>
      </c>
      <c r="E770" s="75" t="str">
        <f t="shared" si="7"/>
        <v>০</v>
      </c>
      <c r="F770" s="22" t="str">
        <f>"8119457816822"</f>
        <v>8119457816822</v>
      </c>
      <c r="G770" s="75" t="str">
        <f>"৭৪২"</f>
        <v>৭৪২</v>
      </c>
      <c r="H770" s="75" t="s">
        <v>315</v>
      </c>
      <c r="I770" s="75" t="s">
        <v>315</v>
      </c>
      <c r="J770" s="4"/>
    </row>
    <row r="771" spans="1:10" x14ac:dyDescent="0.25">
      <c r="A771" s="39">
        <v>770</v>
      </c>
      <c r="B771" s="3" t="s">
        <v>2186</v>
      </c>
      <c r="C771" s="75" t="s">
        <v>2301</v>
      </c>
      <c r="D771" s="75" t="s">
        <v>305</v>
      </c>
      <c r="E771" s="75" t="str">
        <f t="shared" si="7"/>
        <v>০</v>
      </c>
      <c r="F771" s="22" t="str">
        <f>"8119457816665"</f>
        <v>8119457816665</v>
      </c>
      <c r="G771" s="75" t="str">
        <f>"৭৪১"</f>
        <v>৭৪১</v>
      </c>
      <c r="H771" s="75" t="s">
        <v>313</v>
      </c>
      <c r="I771" s="75" t="s">
        <v>313</v>
      </c>
      <c r="J771" s="4"/>
    </row>
    <row r="772" spans="1:10" x14ac:dyDescent="0.25">
      <c r="A772" s="39">
        <v>771</v>
      </c>
      <c r="B772" s="3" t="s">
        <v>4262</v>
      </c>
      <c r="C772" s="75" t="s">
        <v>2096</v>
      </c>
      <c r="D772" s="75" t="s">
        <v>305</v>
      </c>
      <c r="E772" s="75" t="str">
        <f t="shared" si="7"/>
        <v>০</v>
      </c>
      <c r="F772" s="22" t="str">
        <f>"8119457816609"</f>
        <v>8119457816609</v>
      </c>
      <c r="G772" s="75" t="str">
        <f>"৭৪০"</f>
        <v>৭৪০</v>
      </c>
      <c r="H772" s="75" t="s">
        <v>314</v>
      </c>
      <c r="I772" s="75" t="s">
        <v>314</v>
      </c>
      <c r="J772" s="4"/>
    </row>
    <row r="773" spans="1:10" x14ac:dyDescent="0.25">
      <c r="A773" s="39">
        <v>772</v>
      </c>
      <c r="B773" s="3" t="s">
        <v>4261</v>
      </c>
      <c r="C773" s="75" t="s">
        <v>2125</v>
      </c>
      <c r="D773" s="75" t="s">
        <v>305</v>
      </c>
      <c r="E773" s="75" t="str">
        <f t="shared" si="7"/>
        <v>০</v>
      </c>
      <c r="F773" s="22" t="str">
        <f>"8119457816837"</f>
        <v>8119457816837</v>
      </c>
      <c r="G773" s="75" t="str">
        <f>"৭৩৯"</f>
        <v>৭৩৯</v>
      </c>
      <c r="H773" s="75" t="s">
        <v>321</v>
      </c>
      <c r="I773" s="75" t="s">
        <v>321</v>
      </c>
      <c r="J773" s="4"/>
    </row>
    <row r="774" spans="1:10" x14ac:dyDescent="0.25">
      <c r="A774" s="39">
        <v>773</v>
      </c>
      <c r="B774" s="3" t="s">
        <v>2895</v>
      </c>
      <c r="C774" s="75" t="s">
        <v>1704</v>
      </c>
      <c r="D774" s="75" t="s">
        <v>305</v>
      </c>
      <c r="E774" s="75" t="str">
        <f t="shared" si="7"/>
        <v>০</v>
      </c>
      <c r="F774" s="22" t="str">
        <f>"8119457817588"</f>
        <v>8119457817588</v>
      </c>
      <c r="G774" s="75" t="str">
        <f>"৭৩৮"</f>
        <v>৭৩৮</v>
      </c>
      <c r="H774" s="75" t="s">
        <v>322</v>
      </c>
      <c r="I774" s="75" t="s">
        <v>322</v>
      </c>
      <c r="J774" s="4"/>
    </row>
    <row r="775" spans="1:10" x14ac:dyDescent="0.25">
      <c r="A775" s="39">
        <v>774</v>
      </c>
      <c r="B775" s="3" t="s">
        <v>2302</v>
      </c>
      <c r="C775" s="75" t="s">
        <v>2038</v>
      </c>
      <c r="D775" s="75" t="s">
        <v>305</v>
      </c>
      <c r="E775" s="75" t="str">
        <f t="shared" si="7"/>
        <v>০</v>
      </c>
      <c r="F775" s="22" t="str">
        <f>"8119457816745"</f>
        <v>8119457816745</v>
      </c>
      <c r="G775" s="75" t="str">
        <f>"৭৩৭"</f>
        <v>৭৩৭</v>
      </c>
      <c r="H775" s="75" t="s">
        <v>314</v>
      </c>
      <c r="I775" s="75" t="s">
        <v>314</v>
      </c>
      <c r="J775" s="4"/>
    </row>
    <row r="776" spans="1:10" x14ac:dyDescent="0.25">
      <c r="A776" s="39">
        <v>775</v>
      </c>
      <c r="B776" s="3" t="s">
        <v>2255</v>
      </c>
      <c r="C776" s="75" t="s">
        <v>2303</v>
      </c>
      <c r="D776" s="75" t="s">
        <v>305</v>
      </c>
      <c r="E776" s="75" t="str">
        <f t="shared" si="7"/>
        <v>০</v>
      </c>
      <c r="F776" s="22" t="str">
        <f>"8119457816838"</f>
        <v>8119457816838</v>
      </c>
      <c r="G776" s="75" t="str">
        <f>"৭৩৬"</f>
        <v>৭৩৬</v>
      </c>
      <c r="H776" s="75" t="s">
        <v>323</v>
      </c>
      <c r="I776" s="75" t="s">
        <v>323</v>
      </c>
      <c r="J776" s="4"/>
    </row>
    <row r="777" spans="1:10" x14ac:dyDescent="0.25">
      <c r="A777" s="39">
        <v>776</v>
      </c>
      <c r="B777" s="3" t="s">
        <v>1726</v>
      </c>
      <c r="C777" s="75" t="s">
        <v>1635</v>
      </c>
      <c r="D777" s="75" t="s">
        <v>305</v>
      </c>
      <c r="E777" s="75" t="str">
        <f t="shared" si="7"/>
        <v>০</v>
      </c>
      <c r="F777" s="22" t="str">
        <f>"8119457811531"</f>
        <v>8119457811531</v>
      </c>
      <c r="G777" s="75" t="str">
        <f>"৭৩৫"</f>
        <v>৭৩৫</v>
      </c>
      <c r="H777" s="75" t="s">
        <v>324</v>
      </c>
      <c r="I777" s="75" t="s">
        <v>324</v>
      </c>
      <c r="J777" s="4"/>
    </row>
    <row r="778" spans="1:10" x14ac:dyDescent="0.25">
      <c r="A778" s="39">
        <v>777</v>
      </c>
      <c r="B778" s="3" t="s">
        <v>2305</v>
      </c>
      <c r="C778" s="75" t="s">
        <v>2304</v>
      </c>
      <c r="D778" s="75" t="s">
        <v>305</v>
      </c>
      <c r="E778" s="75" t="str">
        <f t="shared" si="7"/>
        <v>০</v>
      </c>
      <c r="F778" s="22" t="str">
        <f>"8119457000202"</f>
        <v>8119457000202</v>
      </c>
      <c r="G778" s="75" t="str">
        <f>"৭৩৪"</f>
        <v>৭৩৪</v>
      </c>
      <c r="H778" s="75" t="s">
        <v>325</v>
      </c>
      <c r="I778" s="75" t="s">
        <v>325</v>
      </c>
      <c r="J778" s="4"/>
    </row>
    <row r="779" spans="1:10" x14ac:dyDescent="0.25">
      <c r="A779" s="39">
        <v>778</v>
      </c>
      <c r="B779" s="3" t="s">
        <v>2306</v>
      </c>
      <c r="C779" s="75" t="s">
        <v>2304</v>
      </c>
      <c r="D779" s="75" t="s">
        <v>305</v>
      </c>
      <c r="E779" s="75" t="str">
        <f t="shared" si="7"/>
        <v>০</v>
      </c>
      <c r="F779" s="22" t="str">
        <f>"8119457816553"</f>
        <v>8119457816553</v>
      </c>
      <c r="G779" s="75" t="str">
        <f>"৭৩৩"</f>
        <v>৭৩৩</v>
      </c>
      <c r="H779" s="75" t="s">
        <v>319</v>
      </c>
      <c r="I779" s="75" t="s">
        <v>319</v>
      </c>
      <c r="J779" s="4"/>
    </row>
    <row r="780" spans="1:10" x14ac:dyDescent="0.25">
      <c r="A780" s="39">
        <v>779</v>
      </c>
      <c r="B780" s="3" t="s">
        <v>2308</v>
      </c>
      <c r="C780" s="75" t="s">
        <v>2307</v>
      </c>
      <c r="D780" s="75" t="s">
        <v>305</v>
      </c>
      <c r="E780" s="75" t="str">
        <f t="shared" si="7"/>
        <v>০</v>
      </c>
      <c r="F780" s="22" t="str">
        <f>"8119457816801"</f>
        <v>8119457816801</v>
      </c>
      <c r="G780" s="75" t="str">
        <f>"৭৩২"</f>
        <v>৭৩২</v>
      </c>
      <c r="H780" s="75" t="s">
        <v>326</v>
      </c>
      <c r="I780" s="75" t="s">
        <v>326</v>
      </c>
      <c r="J780" s="4"/>
    </row>
    <row r="781" spans="1:10" x14ac:dyDescent="0.25">
      <c r="A781" s="39">
        <v>780</v>
      </c>
      <c r="B781" s="3" t="s">
        <v>2310</v>
      </c>
      <c r="C781" s="75" t="s">
        <v>2309</v>
      </c>
      <c r="D781" s="75" t="s">
        <v>305</v>
      </c>
      <c r="E781" s="75" t="str">
        <f t="shared" si="7"/>
        <v>০</v>
      </c>
      <c r="F781" s="22" t="str">
        <f>"8119457815534"</f>
        <v>8119457815534</v>
      </c>
      <c r="G781" s="75" t="str">
        <f>"৭৩১"</f>
        <v>৭৩১</v>
      </c>
      <c r="H781" s="75" t="s">
        <v>327</v>
      </c>
      <c r="I781" s="75" t="s">
        <v>327</v>
      </c>
      <c r="J781" s="4"/>
    </row>
    <row r="782" spans="1:10" x14ac:dyDescent="0.25">
      <c r="A782" s="39">
        <v>781</v>
      </c>
      <c r="B782" s="3" t="s">
        <v>2047</v>
      </c>
      <c r="C782" s="75" t="s">
        <v>2311</v>
      </c>
      <c r="D782" s="75" t="s">
        <v>305</v>
      </c>
      <c r="E782" s="75" t="str">
        <f t="shared" si="7"/>
        <v>০</v>
      </c>
      <c r="F782" s="22" t="str">
        <f>"8119457815532"</f>
        <v>8119457815532</v>
      </c>
      <c r="G782" s="75" t="str">
        <f>"৭৩০"</f>
        <v>৭৩০</v>
      </c>
      <c r="H782" s="75" t="s">
        <v>328</v>
      </c>
      <c r="I782" s="75" t="s">
        <v>328</v>
      </c>
      <c r="J782" s="4"/>
    </row>
    <row r="783" spans="1:10" x14ac:dyDescent="0.25">
      <c r="A783" s="39">
        <v>782</v>
      </c>
      <c r="B783" s="3" t="s">
        <v>2267</v>
      </c>
      <c r="C783" s="75" t="s">
        <v>2054</v>
      </c>
      <c r="D783" s="75" t="s">
        <v>305</v>
      </c>
      <c r="E783" s="75" t="str">
        <f t="shared" si="7"/>
        <v>০</v>
      </c>
      <c r="F783" s="22" t="str">
        <f>"8119457815464"</f>
        <v>8119457815464</v>
      </c>
      <c r="G783" s="75" t="str">
        <f>"৭২৯"</f>
        <v>৭২৯</v>
      </c>
      <c r="H783" s="75" t="s">
        <v>329</v>
      </c>
      <c r="I783" s="75" t="s">
        <v>329</v>
      </c>
      <c r="J783" s="4"/>
    </row>
    <row r="784" spans="1:10" x14ac:dyDescent="0.25">
      <c r="A784" s="39">
        <v>783</v>
      </c>
      <c r="B784" s="3" t="s">
        <v>2313</v>
      </c>
      <c r="C784" s="75" t="s">
        <v>2312</v>
      </c>
      <c r="D784" s="75" t="s">
        <v>305</v>
      </c>
      <c r="E784" s="75" t="str">
        <f t="shared" si="7"/>
        <v>০</v>
      </c>
      <c r="F784" s="22" t="str">
        <f>"8119457815073"</f>
        <v>8119457815073</v>
      </c>
      <c r="G784" s="75" t="str">
        <f>"৭২৮"</f>
        <v>৭২৮</v>
      </c>
      <c r="H784" s="75" t="s">
        <v>330</v>
      </c>
      <c r="I784" s="75" t="s">
        <v>330</v>
      </c>
      <c r="J784" s="4"/>
    </row>
    <row r="785" spans="1:10" x14ac:dyDescent="0.25">
      <c r="A785" s="39">
        <v>784</v>
      </c>
      <c r="B785" s="3" t="s">
        <v>2314</v>
      </c>
      <c r="C785" s="75" t="s">
        <v>1592</v>
      </c>
      <c r="D785" s="75" t="s">
        <v>305</v>
      </c>
      <c r="E785" s="75" t="str">
        <f t="shared" si="7"/>
        <v>০</v>
      </c>
      <c r="F785" s="22" t="str">
        <f>"8119457815376"</f>
        <v>8119457815376</v>
      </c>
      <c r="G785" s="75" t="str">
        <f>"৭২৭"</f>
        <v>৭২৭</v>
      </c>
      <c r="H785" s="75" t="s">
        <v>319</v>
      </c>
      <c r="I785" s="75" t="s">
        <v>319</v>
      </c>
      <c r="J785" s="4"/>
    </row>
    <row r="786" spans="1:10" x14ac:dyDescent="0.25">
      <c r="A786" s="39">
        <v>785</v>
      </c>
      <c r="B786" s="3" t="s">
        <v>2316</v>
      </c>
      <c r="C786" s="75" t="s">
        <v>2315</v>
      </c>
      <c r="D786" s="75" t="s">
        <v>305</v>
      </c>
      <c r="E786" s="75" t="str">
        <f t="shared" si="7"/>
        <v>০</v>
      </c>
      <c r="F786" s="22" t="str">
        <f>"8119457815407"</f>
        <v>8119457815407</v>
      </c>
      <c r="G786" s="75" t="str">
        <f>"৭২৬"</f>
        <v>৭২৬</v>
      </c>
      <c r="H786" s="75" t="s">
        <v>317</v>
      </c>
      <c r="I786" s="75" t="s">
        <v>317</v>
      </c>
      <c r="J786" s="4"/>
    </row>
    <row r="787" spans="1:10" x14ac:dyDescent="0.25">
      <c r="A787" s="39">
        <v>786</v>
      </c>
      <c r="B787" s="3" t="s">
        <v>1593</v>
      </c>
      <c r="C787" s="75" t="s">
        <v>2297</v>
      </c>
      <c r="D787" s="75" t="s">
        <v>305</v>
      </c>
      <c r="E787" s="75" t="str">
        <f t="shared" si="7"/>
        <v>০</v>
      </c>
      <c r="F787" s="22" t="str">
        <f>"8119457815490"</f>
        <v>8119457815490</v>
      </c>
      <c r="G787" s="75" t="str">
        <f>"৭২৫"</f>
        <v>৭২৫</v>
      </c>
      <c r="H787" s="75" t="s">
        <v>323</v>
      </c>
      <c r="I787" s="75" t="s">
        <v>323</v>
      </c>
      <c r="J787" s="4"/>
    </row>
    <row r="788" spans="1:10" x14ac:dyDescent="0.25">
      <c r="A788" s="39">
        <v>787</v>
      </c>
      <c r="B788" s="3" t="s">
        <v>2186</v>
      </c>
      <c r="C788" s="75" t="s">
        <v>1783</v>
      </c>
      <c r="D788" s="75" t="s">
        <v>305</v>
      </c>
      <c r="E788" s="75" t="str">
        <f t="shared" si="7"/>
        <v>০</v>
      </c>
      <c r="F788" s="22" t="str">
        <f>"8119457815382"</f>
        <v>8119457815382</v>
      </c>
      <c r="G788" s="75" t="str">
        <f>"৭২৪"</f>
        <v>৭২৪</v>
      </c>
      <c r="H788" s="75" t="s">
        <v>326</v>
      </c>
      <c r="I788" s="75" t="s">
        <v>326</v>
      </c>
      <c r="J788" s="4"/>
    </row>
    <row r="789" spans="1:10" x14ac:dyDescent="0.25">
      <c r="A789" s="39">
        <v>788</v>
      </c>
      <c r="B789" s="3" t="s">
        <v>2048</v>
      </c>
      <c r="C789" s="75" t="s">
        <v>2317</v>
      </c>
      <c r="D789" s="75" t="s">
        <v>305</v>
      </c>
      <c r="E789" s="75" t="str">
        <f t="shared" si="7"/>
        <v>০</v>
      </c>
      <c r="F789" s="22" t="str">
        <f>"8119457815538"</f>
        <v>8119457815538</v>
      </c>
      <c r="G789" s="75" t="str">
        <f>"৭২৩"</f>
        <v>৭২৩</v>
      </c>
      <c r="H789" s="75" t="s">
        <v>331</v>
      </c>
      <c r="I789" s="75" t="s">
        <v>331</v>
      </c>
      <c r="J789" s="4"/>
    </row>
    <row r="790" spans="1:10" x14ac:dyDescent="0.25">
      <c r="A790" s="39">
        <v>789</v>
      </c>
      <c r="B790" s="3" t="s">
        <v>2318</v>
      </c>
      <c r="C790" s="75" t="s">
        <v>2287</v>
      </c>
      <c r="D790" s="75" t="s">
        <v>305</v>
      </c>
      <c r="E790" s="75" t="str">
        <f t="shared" si="7"/>
        <v>০</v>
      </c>
      <c r="F790" s="22" t="str">
        <f>"8119457815422"</f>
        <v>8119457815422</v>
      </c>
      <c r="G790" s="75" t="str">
        <f>"৭২২"</f>
        <v>৭২২</v>
      </c>
      <c r="H790" s="75" t="s">
        <v>329</v>
      </c>
      <c r="I790" s="75" t="s">
        <v>329</v>
      </c>
      <c r="J790" s="4"/>
    </row>
    <row r="791" spans="1:10" x14ac:dyDescent="0.25">
      <c r="A791" s="39">
        <v>790</v>
      </c>
      <c r="B791" s="3" t="s">
        <v>1760</v>
      </c>
      <c r="C791" s="75" t="s">
        <v>1896</v>
      </c>
      <c r="D791" s="75" t="s">
        <v>305</v>
      </c>
      <c r="E791" s="75" t="str">
        <f t="shared" si="7"/>
        <v>০</v>
      </c>
      <c r="F791" s="22" t="str">
        <f>"8119457815487"</f>
        <v>8119457815487</v>
      </c>
      <c r="G791" s="75" t="str">
        <f>"৭২১"</f>
        <v>৭২১</v>
      </c>
      <c r="H791" s="75" t="s">
        <v>332</v>
      </c>
      <c r="I791" s="75" t="s">
        <v>332</v>
      </c>
      <c r="J791" s="4"/>
    </row>
    <row r="792" spans="1:10" x14ac:dyDescent="0.25">
      <c r="A792" s="39">
        <v>791</v>
      </c>
      <c r="B792" s="3" t="s">
        <v>1844</v>
      </c>
      <c r="C792" s="75" t="s">
        <v>2319</v>
      </c>
      <c r="D792" s="75" t="s">
        <v>305</v>
      </c>
      <c r="E792" s="75" t="str">
        <f t="shared" si="7"/>
        <v>০</v>
      </c>
      <c r="F792" s="22" t="str">
        <f>"8119457816296"</f>
        <v>8119457816296</v>
      </c>
      <c r="G792" s="75" t="str">
        <f>"৭২০"</f>
        <v>৭২০</v>
      </c>
      <c r="H792" s="75" t="s">
        <v>316</v>
      </c>
      <c r="I792" s="75" t="s">
        <v>316</v>
      </c>
      <c r="J792" s="4"/>
    </row>
    <row r="793" spans="1:10" x14ac:dyDescent="0.25">
      <c r="A793" s="39">
        <v>792</v>
      </c>
      <c r="B793" s="3" t="s">
        <v>2320</v>
      </c>
      <c r="C793" s="75" t="s">
        <v>1871</v>
      </c>
      <c r="D793" s="75" t="s">
        <v>305</v>
      </c>
      <c r="E793" s="75" t="str">
        <f t="shared" si="7"/>
        <v>০</v>
      </c>
      <c r="F793" s="22" t="str">
        <f>"8119457815108"</f>
        <v>8119457815108</v>
      </c>
      <c r="G793" s="75" t="str">
        <f>"৭১৯"</f>
        <v>৭১৯</v>
      </c>
      <c r="H793" s="75" t="s">
        <v>330</v>
      </c>
      <c r="I793" s="75" t="s">
        <v>330</v>
      </c>
      <c r="J793" s="4"/>
    </row>
    <row r="794" spans="1:10" x14ac:dyDescent="0.25">
      <c r="A794" s="39">
        <v>793</v>
      </c>
      <c r="B794" s="3" t="s">
        <v>2321</v>
      </c>
      <c r="C794" s="75" t="s">
        <v>2322</v>
      </c>
      <c r="D794" s="75" t="s">
        <v>305</v>
      </c>
      <c r="E794" s="75" t="str">
        <f t="shared" si="7"/>
        <v>০</v>
      </c>
      <c r="F794" s="22" t="str">
        <f>"8119457811191"</f>
        <v>8119457811191</v>
      </c>
      <c r="G794" s="75" t="str">
        <f>"৭১৮"</f>
        <v>৭১৮</v>
      </c>
      <c r="H794" s="75" t="s">
        <v>333</v>
      </c>
      <c r="I794" s="75" t="s">
        <v>333</v>
      </c>
      <c r="J794" s="4"/>
    </row>
    <row r="795" spans="1:10" x14ac:dyDescent="0.25">
      <c r="A795" s="39">
        <v>794</v>
      </c>
      <c r="B795" s="3" t="s">
        <v>2323</v>
      </c>
      <c r="C795" s="75" t="s">
        <v>2270</v>
      </c>
      <c r="D795" s="75" t="s">
        <v>305</v>
      </c>
      <c r="E795" s="75" t="str">
        <f t="shared" si="7"/>
        <v>০</v>
      </c>
      <c r="F795" s="22" t="str">
        <f>"8119457815559"</f>
        <v>8119457815559</v>
      </c>
      <c r="G795" s="75" t="str">
        <f>"৭১৭"</f>
        <v>৭১৭</v>
      </c>
      <c r="H795" s="75" t="s">
        <v>319</v>
      </c>
      <c r="I795" s="75" t="s">
        <v>319</v>
      </c>
      <c r="J795" s="4"/>
    </row>
    <row r="796" spans="1:10" x14ac:dyDescent="0.25">
      <c r="A796" s="39">
        <v>795</v>
      </c>
      <c r="B796" s="3" t="s">
        <v>2324</v>
      </c>
      <c r="C796" s="75" t="s">
        <v>1871</v>
      </c>
      <c r="D796" s="75" t="s">
        <v>305</v>
      </c>
      <c r="E796" s="75" t="str">
        <f t="shared" si="7"/>
        <v>০</v>
      </c>
      <c r="F796" s="22" t="str">
        <f>"8119457815233"</f>
        <v>8119457815233</v>
      </c>
      <c r="G796" s="75" t="str">
        <f>"৭১৬"</f>
        <v>৭১৬</v>
      </c>
      <c r="H796" s="75" t="s">
        <v>322</v>
      </c>
      <c r="I796" s="75" t="s">
        <v>322</v>
      </c>
      <c r="J796" s="4"/>
    </row>
    <row r="797" spans="1:10" x14ac:dyDescent="0.25">
      <c r="A797" s="39">
        <v>796</v>
      </c>
      <c r="B797" s="3" t="s">
        <v>2238</v>
      </c>
      <c r="C797" s="75" t="s">
        <v>2315</v>
      </c>
      <c r="D797" s="75" t="s">
        <v>305</v>
      </c>
      <c r="E797" s="75" t="str">
        <f t="shared" si="7"/>
        <v>০</v>
      </c>
      <c r="F797" s="22" t="str">
        <f>"8119457815415"</f>
        <v>8119457815415</v>
      </c>
      <c r="G797" s="75" t="str">
        <f>"৭১৫"</f>
        <v>৭১৫</v>
      </c>
      <c r="H797" s="75" t="s">
        <v>319</v>
      </c>
      <c r="I797" s="75" t="s">
        <v>319</v>
      </c>
      <c r="J797" s="4"/>
    </row>
    <row r="798" spans="1:10" x14ac:dyDescent="0.25">
      <c r="A798" s="39">
        <v>797</v>
      </c>
      <c r="B798" s="3" t="s">
        <v>2325</v>
      </c>
      <c r="C798" s="75" t="s">
        <v>2325</v>
      </c>
      <c r="D798" s="75" t="s">
        <v>305</v>
      </c>
      <c r="E798" s="75" t="str">
        <f t="shared" si="7"/>
        <v>০</v>
      </c>
      <c r="F798" s="22" t="str">
        <f>"8119457815331"</f>
        <v>8119457815331</v>
      </c>
      <c r="G798" s="75" t="str">
        <f>"৭১৪"</f>
        <v>৭১৪</v>
      </c>
      <c r="H798" s="75" t="s">
        <v>315</v>
      </c>
      <c r="I798" s="75" t="s">
        <v>315</v>
      </c>
      <c r="J798" s="4"/>
    </row>
    <row r="799" spans="1:10" x14ac:dyDescent="0.25">
      <c r="A799" s="39">
        <v>798</v>
      </c>
      <c r="B799" s="3" t="s">
        <v>2326</v>
      </c>
      <c r="C799" s="75" t="s">
        <v>2199</v>
      </c>
      <c r="D799" s="75" t="s">
        <v>305</v>
      </c>
      <c r="E799" s="75" t="str">
        <f t="shared" si="7"/>
        <v>০</v>
      </c>
      <c r="F799" s="22" t="str">
        <f>"8119457815291"</f>
        <v>8119457815291</v>
      </c>
      <c r="G799" s="75" t="str">
        <f>"৭১৩"</f>
        <v>৭১৩</v>
      </c>
      <c r="H799" s="75" t="s">
        <v>316</v>
      </c>
      <c r="I799" s="75" t="s">
        <v>316</v>
      </c>
      <c r="J799" s="4"/>
    </row>
    <row r="800" spans="1:10" x14ac:dyDescent="0.25">
      <c r="A800" s="39">
        <v>799</v>
      </c>
      <c r="B800" s="3" t="s">
        <v>2327</v>
      </c>
      <c r="C800" s="75" t="s">
        <v>2328</v>
      </c>
      <c r="D800" s="75" t="s">
        <v>305</v>
      </c>
      <c r="E800" s="75" t="str">
        <f t="shared" si="7"/>
        <v>০</v>
      </c>
      <c r="F800" s="22" t="str">
        <f>"8119457815173"</f>
        <v>8119457815173</v>
      </c>
      <c r="G800" s="75" t="str">
        <f>"৭১২"</f>
        <v>৭১২</v>
      </c>
      <c r="H800" s="75" t="s">
        <v>317</v>
      </c>
      <c r="I800" s="75" t="s">
        <v>317</v>
      </c>
      <c r="J800" s="4"/>
    </row>
    <row r="801" spans="1:10" x14ac:dyDescent="0.25">
      <c r="A801" s="39">
        <v>800</v>
      </c>
      <c r="B801" s="3" t="s">
        <v>2329</v>
      </c>
      <c r="C801" s="75" t="s">
        <v>2330</v>
      </c>
      <c r="D801" s="75" t="s">
        <v>305</v>
      </c>
      <c r="E801" s="75" t="str">
        <f t="shared" si="7"/>
        <v>০</v>
      </c>
      <c r="F801" s="22" t="str">
        <f>"8119457815158"</f>
        <v>8119457815158</v>
      </c>
      <c r="G801" s="75" t="str">
        <f>"৭১১"</f>
        <v>৭১১</v>
      </c>
      <c r="H801" s="75" t="s">
        <v>318</v>
      </c>
      <c r="I801" s="75" t="s">
        <v>318</v>
      </c>
      <c r="J801" s="4"/>
    </row>
    <row r="802" spans="1:10" x14ac:dyDescent="0.25">
      <c r="A802" s="39">
        <v>801</v>
      </c>
      <c r="B802" s="3" t="s">
        <v>2331</v>
      </c>
      <c r="C802" s="75" t="s">
        <v>2009</v>
      </c>
      <c r="D802" s="75" t="s">
        <v>304</v>
      </c>
      <c r="E802" s="75" t="str">
        <f t="shared" si="7"/>
        <v>০</v>
      </c>
      <c r="F802" s="22" t="str">
        <f>"8119457816471"</f>
        <v>8119457816471</v>
      </c>
      <c r="G802" s="75" t="str">
        <f>"৭১০"</f>
        <v>৭১০</v>
      </c>
      <c r="H802" s="75" t="s">
        <v>319</v>
      </c>
      <c r="I802" s="75" t="s">
        <v>319</v>
      </c>
      <c r="J802" s="4"/>
    </row>
    <row r="803" spans="1:10" x14ac:dyDescent="0.25">
      <c r="A803" s="39">
        <v>802</v>
      </c>
      <c r="B803" s="3" t="s">
        <v>2332</v>
      </c>
      <c r="C803" s="75" t="s">
        <v>2333</v>
      </c>
      <c r="D803" s="75" t="s">
        <v>304</v>
      </c>
      <c r="E803" s="75" t="str">
        <f t="shared" si="7"/>
        <v>০</v>
      </c>
      <c r="F803" s="22" t="str">
        <f>"8119457815289"</f>
        <v>8119457815289</v>
      </c>
      <c r="G803" s="75" t="str">
        <f>"৭০৯"</f>
        <v>৭০৯</v>
      </c>
      <c r="H803" s="75" t="s">
        <v>320</v>
      </c>
      <c r="I803" s="75" t="s">
        <v>320</v>
      </c>
      <c r="J803" s="4"/>
    </row>
    <row r="804" spans="1:10" x14ac:dyDescent="0.25">
      <c r="A804" s="39">
        <v>803</v>
      </c>
      <c r="B804" s="3" t="s">
        <v>2334</v>
      </c>
      <c r="C804" s="75" t="s">
        <v>2331</v>
      </c>
      <c r="D804" s="75" t="s">
        <v>304</v>
      </c>
      <c r="E804" s="75" t="str">
        <f t="shared" si="7"/>
        <v>০</v>
      </c>
      <c r="F804" s="22" t="str">
        <f>"8119457816442"</f>
        <v>8119457816442</v>
      </c>
      <c r="G804" s="75" t="str">
        <f>"৭০৮"</f>
        <v>৭০৮</v>
      </c>
      <c r="H804" s="75" t="s">
        <v>315</v>
      </c>
      <c r="I804" s="75" t="s">
        <v>315</v>
      </c>
      <c r="J804" s="4"/>
    </row>
    <row r="805" spans="1:10" x14ac:dyDescent="0.25">
      <c r="A805" s="39">
        <v>804</v>
      </c>
      <c r="B805" s="3" t="s">
        <v>2335</v>
      </c>
      <c r="C805" s="75" t="s">
        <v>2336</v>
      </c>
      <c r="D805" s="75" t="s">
        <v>304</v>
      </c>
      <c r="E805" s="75" t="str">
        <f t="shared" si="7"/>
        <v>০</v>
      </c>
      <c r="F805" s="22" t="str">
        <f>"8119457816365"</f>
        <v>8119457816365</v>
      </c>
      <c r="G805" s="75" t="str">
        <f>"৭০৭"</f>
        <v>৭০৭</v>
      </c>
      <c r="H805" s="75" t="s">
        <v>313</v>
      </c>
      <c r="I805" s="75" t="s">
        <v>313</v>
      </c>
      <c r="J805" s="4"/>
    </row>
    <row r="806" spans="1:10" x14ac:dyDescent="0.25">
      <c r="A806" s="39">
        <v>805</v>
      </c>
      <c r="B806" s="3" t="s">
        <v>1529</v>
      </c>
      <c r="C806" s="75" t="s">
        <v>1530</v>
      </c>
      <c r="D806" s="75" t="s">
        <v>304</v>
      </c>
      <c r="E806" s="75" t="str">
        <f t="shared" si="7"/>
        <v>০</v>
      </c>
      <c r="F806" s="22" t="str">
        <f>"8119457815534"</f>
        <v>8119457815534</v>
      </c>
      <c r="G806" s="75" t="str">
        <f>"৭০৬"</f>
        <v>৭০৬</v>
      </c>
      <c r="H806" s="75" t="s">
        <v>314</v>
      </c>
      <c r="I806" s="75" t="s">
        <v>314</v>
      </c>
      <c r="J806" s="4"/>
    </row>
    <row r="807" spans="1:10" x14ac:dyDescent="0.25">
      <c r="A807" s="39">
        <v>806</v>
      </c>
      <c r="B807" s="3" t="s">
        <v>2337</v>
      </c>
      <c r="C807" s="75" t="s">
        <v>2331</v>
      </c>
      <c r="D807" s="75" t="s">
        <v>304</v>
      </c>
      <c r="E807" s="75" t="str">
        <f t="shared" si="7"/>
        <v>০</v>
      </c>
      <c r="F807" s="22" t="str">
        <f>"8119457815532"</f>
        <v>8119457815532</v>
      </c>
      <c r="G807" s="75" t="str">
        <f>"৭০৫"</f>
        <v>৭০৫</v>
      </c>
      <c r="H807" s="75" t="s">
        <v>321</v>
      </c>
      <c r="I807" s="75" t="s">
        <v>321</v>
      </c>
      <c r="J807" s="4"/>
    </row>
    <row r="808" spans="1:10" x14ac:dyDescent="0.25">
      <c r="A808" s="39">
        <v>807</v>
      </c>
      <c r="B808" s="3" t="s">
        <v>2338</v>
      </c>
      <c r="C808" s="75" t="s">
        <v>2339</v>
      </c>
      <c r="D808" s="75" t="s">
        <v>304</v>
      </c>
      <c r="E808" s="75" t="str">
        <f t="shared" si="7"/>
        <v>০</v>
      </c>
      <c r="F808" s="22" t="str">
        <f>"8119457815464"</f>
        <v>8119457815464</v>
      </c>
      <c r="G808" s="75" t="str">
        <f>"৭০৪"</f>
        <v>৭০৪</v>
      </c>
      <c r="H808" s="75" t="s">
        <v>322</v>
      </c>
      <c r="I808" s="75" t="s">
        <v>322</v>
      </c>
      <c r="J808" s="4"/>
    </row>
    <row r="809" spans="1:10" x14ac:dyDescent="0.25">
      <c r="A809" s="39">
        <v>808</v>
      </c>
      <c r="B809" s="3" t="s">
        <v>2340</v>
      </c>
      <c r="C809" s="75" t="s">
        <v>2339</v>
      </c>
      <c r="D809" s="75" t="s">
        <v>304</v>
      </c>
      <c r="E809" s="75" t="str">
        <f t="shared" si="7"/>
        <v>০</v>
      </c>
      <c r="F809" s="22" t="str">
        <f>"8119457815073"</f>
        <v>8119457815073</v>
      </c>
      <c r="G809" s="75" t="str">
        <f>"৭০৩"</f>
        <v>৭০৩</v>
      </c>
      <c r="H809" s="75" t="s">
        <v>314</v>
      </c>
      <c r="I809" s="75" t="s">
        <v>314</v>
      </c>
      <c r="J809" s="4"/>
    </row>
    <row r="810" spans="1:10" x14ac:dyDescent="0.25">
      <c r="A810" s="39">
        <v>809</v>
      </c>
      <c r="B810" s="3" t="s">
        <v>2341</v>
      </c>
      <c r="C810" s="75" t="s">
        <v>2342</v>
      </c>
      <c r="D810" s="75" t="s">
        <v>304</v>
      </c>
      <c r="E810" s="75" t="str">
        <f t="shared" si="7"/>
        <v>০</v>
      </c>
      <c r="F810" s="22" t="str">
        <f>"8119457815376"</f>
        <v>8119457815376</v>
      </c>
      <c r="G810" s="75" t="str">
        <f>"৭০২"</f>
        <v>৭০২</v>
      </c>
      <c r="H810" s="75" t="s">
        <v>323</v>
      </c>
      <c r="I810" s="75" t="s">
        <v>323</v>
      </c>
      <c r="J810" s="4"/>
    </row>
    <row r="811" spans="1:10" x14ac:dyDescent="0.25">
      <c r="A811" s="39">
        <v>810</v>
      </c>
      <c r="B811" s="3" t="s">
        <v>2343</v>
      </c>
      <c r="C811" s="75" t="s">
        <v>1996</v>
      </c>
      <c r="D811" s="75" t="s">
        <v>304</v>
      </c>
      <c r="E811" s="75" t="str">
        <f t="shared" si="7"/>
        <v>০</v>
      </c>
      <c r="F811" s="22" t="str">
        <f>"8119457815407"</f>
        <v>8119457815407</v>
      </c>
      <c r="G811" s="75" t="str">
        <f>"৭০১"</f>
        <v>৭০১</v>
      </c>
      <c r="H811" s="75" t="s">
        <v>324</v>
      </c>
      <c r="I811" s="75" t="s">
        <v>324</v>
      </c>
      <c r="J811" s="4"/>
    </row>
    <row r="812" spans="1:10" x14ac:dyDescent="0.25">
      <c r="A812" s="39">
        <v>811</v>
      </c>
      <c r="B812" s="3" t="s">
        <v>2344</v>
      </c>
      <c r="C812" s="75" t="s">
        <v>2345</v>
      </c>
      <c r="D812" s="75" t="s">
        <v>304</v>
      </c>
      <c r="E812" s="75" t="str">
        <f t="shared" si="7"/>
        <v>০</v>
      </c>
      <c r="F812" s="22" t="str">
        <f>"8119457815490"</f>
        <v>8119457815490</v>
      </c>
      <c r="G812" s="75" t="str">
        <f>"৭০০"</f>
        <v>৭০০</v>
      </c>
      <c r="H812" s="75" t="s">
        <v>325</v>
      </c>
      <c r="I812" s="75" t="s">
        <v>325</v>
      </c>
      <c r="J812" s="4"/>
    </row>
    <row r="813" spans="1:10" x14ac:dyDescent="0.25">
      <c r="A813" s="39">
        <v>812</v>
      </c>
      <c r="B813" s="3" t="s">
        <v>2346</v>
      </c>
      <c r="C813" s="75" t="s">
        <v>2347</v>
      </c>
      <c r="D813" s="75" t="s">
        <v>304</v>
      </c>
      <c r="E813" s="75" t="str">
        <f t="shared" ref="E813:E876" si="8">"০"</f>
        <v>০</v>
      </c>
      <c r="F813" s="22" t="str">
        <f>"8119457815382"</f>
        <v>8119457815382</v>
      </c>
      <c r="G813" s="75" t="str">
        <f>"৬৯৯"</f>
        <v>৬৯৯</v>
      </c>
      <c r="H813" s="75" t="s">
        <v>319</v>
      </c>
      <c r="I813" s="75" t="s">
        <v>319</v>
      </c>
      <c r="J813" s="4"/>
    </row>
    <row r="814" spans="1:10" x14ac:dyDescent="0.25">
      <c r="A814" s="39">
        <v>813</v>
      </c>
      <c r="B814" s="3" t="s">
        <v>2348</v>
      </c>
      <c r="C814" s="75" t="s">
        <v>2339</v>
      </c>
      <c r="D814" s="75" t="s">
        <v>304</v>
      </c>
      <c r="E814" s="75" t="str">
        <f t="shared" si="8"/>
        <v>০</v>
      </c>
      <c r="F814" s="22" t="str">
        <f>"8119457815538"</f>
        <v>8119457815538</v>
      </c>
      <c r="G814" s="75" t="str">
        <f>"৬৯৮"</f>
        <v>৬৯৮</v>
      </c>
      <c r="H814" s="75" t="s">
        <v>326</v>
      </c>
      <c r="I814" s="75" t="s">
        <v>326</v>
      </c>
      <c r="J814" s="4"/>
    </row>
    <row r="815" spans="1:10" x14ac:dyDescent="0.25">
      <c r="A815" s="39">
        <v>814</v>
      </c>
      <c r="B815" s="3" t="s">
        <v>2349</v>
      </c>
      <c r="C815" s="75" t="s">
        <v>2350</v>
      </c>
      <c r="D815" s="75" t="s">
        <v>304</v>
      </c>
      <c r="E815" s="75" t="str">
        <f t="shared" si="8"/>
        <v>০</v>
      </c>
      <c r="F815" s="22" t="str">
        <f>"8119457815422"</f>
        <v>8119457815422</v>
      </c>
      <c r="G815" s="75" t="str">
        <f>"৬৯৭"</f>
        <v>৬৯৭</v>
      </c>
      <c r="H815" s="75" t="s">
        <v>327</v>
      </c>
      <c r="I815" s="75" t="s">
        <v>327</v>
      </c>
      <c r="J815" s="4"/>
    </row>
    <row r="816" spans="1:10" x14ac:dyDescent="0.25">
      <c r="A816" s="39">
        <v>815</v>
      </c>
      <c r="B816" s="3" t="s">
        <v>2351</v>
      </c>
      <c r="C816" s="75" t="s">
        <v>2352</v>
      </c>
      <c r="D816" s="75" t="s">
        <v>304</v>
      </c>
      <c r="E816" s="75" t="str">
        <f t="shared" si="8"/>
        <v>০</v>
      </c>
      <c r="F816" s="22" t="str">
        <f>"8119457815487"</f>
        <v>8119457815487</v>
      </c>
      <c r="G816" s="75" t="str">
        <f>"৬৯৬"</f>
        <v>৬৯৬</v>
      </c>
      <c r="H816" s="75" t="s">
        <v>328</v>
      </c>
      <c r="I816" s="75" t="s">
        <v>328</v>
      </c>
      <c r="J816" s="4"/>
    </row>
    <row r="817" spans="1:10" x14ac:dyDescent="0.25">
      <c r="A817" s="39">
        <v>816</v>
      </c>
      <c r="B817" s="3" t="s">
        <v>2353</v>
      </c>
      <c r="C817" s="75" t="s">
        <v>2010</v>
      </c>
      <c r="D817" s="75" t="s">
        <v>304</v>
      </c>
      <c r="E817" s="75" t="str">
        <f t="shared" si="8"/>
        <v>০</v>
      </c>
      <c r="F817" s="22" t="str">
        <f>"8119457816296"</f>
        <v>8119457816296</v>
      </c>
      <c r="G817" s="75" t="str">
        <f>"৬৯৫"</f>
        <v>৬৯৫</v>
      </c>
      <c r="H817" s="75" t="s">
        <v>329</v>
      </c>
      <c r="I817" s="75" t="s">
        <v>329</v>
      </c>
      <c r="J817" s="4"/>
    </row>
    <row r="818" spans="1:10" x14ac:dyDescent="0.25">
      <c r="A818" s="39">
        <v>817</v>
      </c>
      <c r="B818" s="3" t="s">
        <v>2354</v>
      </c>
      <c r="C818" s="75" t="s">
        <v>2355</v>
      </c>
      <c r="D818" s="75" t="s">
        <v>304</v>
      </c>
      <c r="E818" s="75" t="str">
        <f t="shared" si="8"/>
        <v>০</v>
      </c>
      <c r="F818" s="22" t="str">
        <f>"8119457815108"</f>
        <v>8119457815108</v>
      </c>
      <c r="G818" s="75" t="str">
        <f>"৬৯৪"</f>
        <v>৬৯৪</v>
      </c>
      <c r="H818" s="75" t="s">
        <v>330</v>
      </c>
      <c r="I818" s="75" t="s">
        <v>330</v>
      </c>
      <c r="J818" s="4"/>
    </row>
    <row r="819" spans="1:10" x14ac:dyDescent="0.25">
      <c r="A819" s="39">
        <v>818</v>
      </c>
      <c r="B819" s="3" t="s">
        <v>2356</v>
      </c>
      <c r="C819" s="75" t="s">
        <v>2357</v>
      </c>
      <c r="D819" s="75" t="s">
        <v>304</v>
      </c>
      <c r="E819" s="75" t="str">
        <f t="shared" si="8"/>
        <v>০</v>
      </c>
      <c r="F819" s="22" t="str">
        <f>"8119457811191"</f>
        <v>8119457811191</v>
      </c>
      <c r="G819" s="75" t="str">
        <f>"৬৯৩"</f>
        <v>৬৯৩</v>
      </c>
      <c r="H819" s="75" t="s">
        <v>319</v>
      </c>
      <c r="I819" s="75" t="s">
        <v>319</v>
      </c>
      <c r="J819" s="4"/>
    </row>
    <row r="820" spans="1:10" x14ac:dyDescent="0.25">
      <c r="A820" s="39">
        <v>819</v>
      </c>
      <c r="B820" s="3" t="s">
        <v>2358</v>
      </c>
      <c r="C820" s="75" t="s">
        <v>2359</v>
      </c>
      <c r="D820" s="75" t="s">
        <v>304</v>
      </c>
      <c r="E820" s="75" t="str">
        <f t="shared" si="8"/>
        <v>০</v>
      </c>
      <c r="F820" s="22" t="str">
        <f>"8119457815559"</f>
        <v>8119457815559</v>
      </c>
      <c r="G820" s="75" t="str">
        <f>"৬৯২"</f>
        <v>৬৯২</v>
      </c>
      <c r="H820" s="75" t="s">
        <v>317</v>
      </c>
      <c r="I820" s="75" t="s">
        <v>317</v>
      </c>
      <c r="J820" s="4"/>
    </row>
    <row r="821" spans="1:10" x14ac:dyDescent="0.25">
      <c r="A821" s="39">
        <v>820</v>
      </c>
      <c r="B821" s="3" t="s">
        <v>2360</v>
      </c>
      <c r="C821" s="75" t="s">
        <v>2331</v>
      </c>
      <c r="D821" s="75" t="s">
        <v>304</v>
      </c>
      <c r="E821" s="75" t="str">
        <f t="shared" si="8"/>
        <v>০</v>
      </c>
      <c r="F821" s="22" t="str">
        <f>"8119457815233"</f>
        <v>8119457815233</v>
      </c>
      <c r="G821" s="75" t="str">
        <f>"৬৯১"</f>
        <v>৬৯১</v>
      </c>
      <c r="H821" s="75" t="s">
        <v>323</v>
      </c>
      <c r="I821" s="75" t="s">
        <v>323</v>
      </c>
      <c r="J821" s="4"/>
    </row>
    <row r="822" spans="1:10" x14ac:dyDescent="0.25">
      <c r="A822" s="39">
        <v>821</v>
      </c>
      <c r="B822" s="3" t="s">
        <v>2361</v>
      </c>
      <c r="C822" s="75" t="s">
        <v>2362</v>
      </c>
      <c r="D822" s="75" t="s">
        <v>304</v>
      </c>
      <c r="E822" s="75" t="str">
        <f t="shared" si="8"/>
        <v>০</v>
      </c>
      <c r="F822" s="22" t="str">
        <f>"8119457815415"</f>
        <v>8119457815415</v>
      </c>
      <c r="G822" s="75" t="str">
        <f>"৬৯০"</f>
        <v>৬৯০</v>
      </c>
      <c r="H822" s="75" t="s">
        <v>326</v>
      </c>
      <c r="I822" s="75" t="s">
        <v>326</v>
      </c>
      <c r="J822" s="4"/>
    </row>
    <row r="823" spans="1:10" x14ac:dyDescent="0.25">
      <c r="A823" s="39">
        <v>822</v>
      </c>
      <c r="B823" s="3" t="s">
        <v>2363</v>
      </c>
      <c r="C823" s="75" t="s">
        <v>2364</v>
      </c>
      <c r="D823" s="75" t="s">
        <v>304</v>
      </c>
      <c r="E823" s="75" t="str">
        <f t="shared" si="8"/>
        <v>০</v>
      </c>
      <c r="F823" s="22" t="str">
        <f>"8119457815331"</f>
        <v>8119457815331</v>
      </c>
      <c r="G823" s="75" t="str">
        <f>"৬৮৯"</f>
        <v>৬৮৯</v>
      </c>
      <c r="H823" s="75" t="s">
        <v>331</v>
      </c>
      <c r="I823" s="75" t="s">
        <v>331</v>
      </c>
      <c r="J823" s="4"/>
    </row>
    <row r="824" spans="1:10" x14ac:dyDescent="0.25">
      <c r="A824" s="39">
        <v>823</v>
      </c>
      <c r="B824" s="3" t="s">
        <v>2365</v>
      </c>
      <c r="C824" s="75" t="s">
        <v>2366</v>
      </c>
      <c r="D824" s="75" t="s">
        <v>304</v>
      </c>
      <c r="E824" s="75" t="str">
        <f t="shared" si="8"/>
        <v>০</v>
      </c>
      <c r="F824" s="22" t="str">
        <f>"8119457815291"</f>
        <v>8119457815291</v>
      </c>
      <c r="G824" s="75" t="str">
        <f>"৬৮৮"</f>
        <v>৬৮৮</v>
      </c>
      <c r="H824" s="75" t="s">
        <v>329</v>
      </c>
      <c r="I824" s="75" t="s">
        <v>329</v>
      </c>
      <c r="J824" s="4"/>
    </row>
    <row r="825" spans="1:10" x14ac:dyDescent="0.25">
      <c r="A825" s="39">
        <v>824</v>
      </c>
      <c r="B825" s="3" t="s">
        <v>2367</v>
      </c>
      <c r="C825" s="75" t="s">
        <v>1933</v>
      </c>
      <c r="D825" s="75" t="s">
        <v>304</v>
      </c>
      <c r="E825" s="75" t="str">
        <f t="shared" si="8"/>
        <v>০</v>
      </c>
      <c r="F825" s="22" t="str">
        <f>"8119457815173"</f>
        <v>8119457815173</v>
      </c>
      <c r="G825" s="75" t="str">
        <f>"৬৮৭"</f>
        <v>৬৮৭</v>
      </c>
      <c r="H825" s="75" t="s">
        <v>332</v>
      </c>
      <c r="I825" s="75" t="s">
        <v>332</v>
      </c>
      <c r="J825" s="4"/>
    </row>
    <row r="826" spans="1:10" x14ac:dyDescent="0.25">
      <c r="A826" s="39">
        <v>825</v>
      </c>
      <c r="B826" s="3" t="s">
        <v>2368</v>
      </c>
      <c r="C826" s="75" t="s">
        <v>2347</v>
      </c>
      <c r="D826" s="75" t="s">
        <v>304</v>
      </c>
      <c r="E826" s="75" t="str">
        <f t="shared" si="8"/>
        <v>০</v>
      </c>
      <c r="F826" s="22" t="str">
        <f>"8119457815158"</f>
        <v>8119457815158</v>
      </c>
      <c r="G826" s="75" t="str">
        <f>"৬৮৬"</f>
        <v>৬৮৬</v>
      </c>
      <c r="H826" s="75" t="s">
        <v>316</v>
      </c>
      <c r="I826" s="75" t="s">
        <v>316</v>
      </c>
      <c r="J826" s="4"/>
    </row>
    <row r="827" spans="1:10" x14ac:dyDescent="0.25">
      <c r="A827" s="39">
        <v>826</v>
      </c>
      <c r="B827" s="3" t="s">
        <v>2369</v>
      </c>
      <c r="C827" s="75" t="s">
        <v>2370</v>
      </c>
      <c r="D827" s="75" t="s">
        <v>304</v>
      </c>
      <c r="E827" s="75" t="str">
        <f t="shared" si="8"/>
        <v>০</v>
      </c>
      <c r="F827" s="22" t="str">
        <f>"8119457816471"</f>
        <v>8119457816471</v>
      </c>
      <c r="G827" s="75" t="str">
        <f>"৬৮৫"</f>
        <v>৬৮৫</v>
      </c>
      <c r="H827" s="75" t="s">
        <v>330</v>
      </c>
      <c r="I827" s="75" t="s">
        <v>330</v>
      </c>
      <c r="J827" s="4"/>
    </row>
    <row r="828" spans="1:10" x14ac:dyDescent="0.25">
      <c r="A828" s="39">
        <v>827</v>
      </c>
      <c r="B828" s="3" t="s">
        <v>2371</v>
      </c>
      <c r="C828" s="75" t="s">
        <v>1993</v>
      </c>
      <c r="D828" s="75" t="s">
        <v>304</v>
      </c>
      <c r="E828" s="75" t="str">
        <f t="shared" si="8"/>
        <v>০</v>
      </c>
      <c r="F828" s="22" t="str">
        <f>"8119457815289"</f>
        <v>8119457815289</v>
      </c>
      <c r="G828" s="75" t="str">
        <f>"৬৮৪"</f>
        <v>৬৮৪</v>
      </c>
      <c r="H828" s="75" t="s">
        <v>333</v>
      </c>
      <c r="I828" s="75" t="s">
        <v>333</v>
      </c>
      <c r="J828" s="4"/>
    </row>
    <row r="829" spans="1:10" x14ac:dyDescent="0.25">
      <c r="A829" s="39">
        <v>828</v>
      </c>
      <c r="B829" s="3" t="s">
        <v>2372</v>
      </c>
      <c r="C829" s="75" t="s">
        <v>2373</v>
      </c>
      <c r="D829" s="75" t="s">
        <v>304</v>
      </c>
      <c r="E829" s="75" t="str">
        <f t="shared" si="8"/>
        <v>০</v>
      </c>
      <c r="F829" s="22" t="str">
        <f>"8119457816442"</f>
        <v>8119457816442</v>
      </c>
      <c r="G829" s="75" t="str">
        <f>"৬৮৩"</f>
        <v>৬৮৩</v>
      </c>
      <c r="H829" s="75" t="s">
        <v>319</v>
      </c>
      <c r="I829" s="75" t="s">
        <v>319</v>
      </c>
      <c r="J829" s="4"/>
    </row>
    <row r="830" spans="1:10" x14ac:dyDescent="0.25">
      <c r="A830" s="39">
        <v>829</v>
      </c>
      <c r="B830" s="3" t="s">
        <v>2374</v>
      </c>
      <c r="C830" s="75" t="s">
        <v>2375</v>
      </c>
      <c r="D830" s="75" t="s">
        <v>304</v>
      </c>
      <c r="E830" s="75" t="str">
        <f t="shared" si="8"/>
        <v>০</v>
      </c>
      <c r="F830" s="22" t="str">
        <f>"8119457816365"</f>
        <v>8119457816365</v>
      </c>
      <c r="G830" s="75" t="str">
        <f>"৬৮২"</f>
        <v>৬৮২</v>
      </c>
      <c r="H830" s="75" t="s">
        <v>322</v>
      </c>
      <c r="I830" s="75" t="s">
        <v>322</v>
      </c>
      <c r="J830" s="4"/>
    </row>
    <row r="831" spans="1:10" x14ac:dyDescent="0.25">
      <c r="A831" s="39">
        <v>830</v>
      </c>
      <c r="B831" s="3" t="s">
        <v>2376</v>
      </c>
      <c r="C831" s="75" t="s">
        <v>2377</v>
      </c>
      <c r="D831" s="75" t="s">
        <v>304</v>
      </c>
      <c r="E831" s="75" t="str">
        <f t="shared" si="8"/>
        <v>০</v>
      </c>
      <c r="F831" s="22" t="str">
        <f>"8119457816368"</f>
        <v>8119457816368</v>
      </c>
      <c r="G831" s="75" t="str">
        <f>"৬৮১"</f>
        <v>৬৮১</v>
      </c>
      <c r="H831" s="75" t="s">
        <v>319</v>
      </c>
      <c r="I831" s="75" t="s">
        <v>319</v>
      </c>
      <c r="J831" s="4"/>
    </row>
    <row r="832" spans="1:10" x14ac:dyDescent="0.25">
      <c r="A832" s="39">
        <v>831</v>
      </c>
      <c r="B832" s="3" t="s">
        <v>2378</v>
      </c>
      <c r="C832" s="75" t="s">
        <v>2379</v>
      </c>
      <c r="D832" s="75" t="s">
        <v>304</v>
      </c>
      <c r="E832" s="75" t="str">
        <f t="shared" si="8"/>
        <v>০</v>
      </c>
      <c r="F832" s="22" t="str">
        <f>"8119457816301"</f>
        <v>8119457816301</v>
      </c>
      <c r="G832" s="75" t="str">
        <f>"৬৮০"</f>
        <v>৬৮০</v>
      </c>
      <c r="H832" s="75" t="s">
        <v>315</v>
      </c>
      <c r="I832" s="75" t="s">
        <v>315</v>
      </c>
      <c r="J832" s="4"/>
    </row>
    <row r="833" spans="1:10" x14ac:dyDescent="0.25">
      <c r="A833" s="39">
        <v>832</v>
      </c>
      <c r="B833" s="3" t="s">
        <v>2380</v>
      </c>
      <c r="C833" s="75" t="s">
        <v>2381</v>
      </c>
      <c r="D833" s="75" t="s">
        <v>304</v>
      </c>
      <c r="E833" s="75" t="str">
        <f t="shared" si="8"/>
        <v>০</v>
      </c>
      <c r="F833" s="22" t="str">
        <f>"8119457815061"</f>
        <v>8119457815061</v>
      </c>
      <c r="G833" s="75" t="str">
        <f>"৬৭৯"</f>
        <v>৬৭৯</v>
      </c>
      <c r="H833" s="75" t="s">
        <v>316</v>
      </c>
      <c r="I833" s="75" t="s">
        <v>316</v>
      </c>
      <c r="J833" s="4"/>
    </row>
    <row r="834" spans="1:10" x14ac:dyDescent="0.25">
      <c r="A834" s="39">
        <v>833</v>
      </c>
      <c r="B834" s="3" t="s">
        <v>2382</v>
      </c>
      <c r="C834" s="75" t="s">
        <v>2383</v>
      </c>
      <c r="D834" s="75" t="s">
        <v>304</v>
      </c>
      <c r="E834" s="75" t="str">
        <f t="shared" si="8"/>
        <v>০</v>
      </c>
      <c r="F834" s="22" t="str">
        <f>"8119457815299"</f>
        <v>8119457815299</v>
      </c>
      <c r="G834" s="75" t="str">
        <f>"৬৭৮"</f>
        <v>৬৭৮</v>
      </c>
      <c r="H834" s="75" t="s">
        <v>317</v>
      </c>
      <c r="I834" s="75" t="s">
        <v>317</v>
      </c>
      <c r="J834" s="4"/>
    </row>
    <row r="835" spans="1:10" x14ac:dyDescent="0.25">
      <c r="A835" s="39">
        <v>834</v>
      </c>
      <c r="B835" s="3" t="s">
        <v>2384</v>
      </c>
      <c r="C835" s="75" t="s">
        <v>2385</v>
      </c>
      <c r="D835" s="75" t="s">
        <v>304</v>
      </c>
      <c r="E835" s="75" t="str">
        <f t="shared" si="8"/>
        <v>০</v>
      </c>
      <c r="F835" s="22" t="str">
        <f>"8119457815602"</f>
        <v>8119457815602</v>
      </c>
      <c r="G835" s="75" t="str">
        <f>"৬৭৭"</f>
        <v>৬৭৭</v>
      </c>
      <c r="H835" s="75" t="s">
        <v>318</v>
      </c>
      <c r="I835" s="75" t="s">
        <v>318</v>
      </c>
      <c r="J835" s="4"/>
    </row>
    <row r="836" spans="1:10" x14ac:dyDescent="0.25">
      <c r="A836" s="39">
        <v>835</v>
      </c>
      <c r="B836" s="3" t="s">
        <v>2386</v>
      </c>
      <c r="C836" s="75" t="s">
        <v>2387</v>
      </c>
      <c r="D836" s="75" t="s">
        <v>304</v>
      </c>
      <c r="E836" s="75" t="str">
        <f t="shared" si="8"/>
        <v>০</v>
      </c>
      <c r="F836" s="22" t="str">
        <f>"8119457815576"</f>
        <v>8119457815576</v>
      </c>
      <c r="G836" s="75" t="str">
        <f>"৬৭৬"</f>
        <v>৬৭৬</v>
      </c>
      <c r="H836" s="75" t="s">
        <v>319</v>
      </c>
      <c r="I836" s="75" t="s">
        <v>319</v>
      </c>
      <c r="J836" s="4"/>
    </row>
    <row r="837" spans="1:10" x14ac:dyDescent="0.25">
      <c r="A837" s="39">
        <v>836</v>
      </c>
      <c r="B837" s="3" t="s">
        <v>2388</v>
      </c>
      <c r="C837" s="75" t="s">
        <v>2389</v>
      </c>
      <c r="D837" s="75" t="s">
        <v>304</v>
      </c>
      <c r="E837" s="75" t="str">
        <f t="shared" si="8"/>
        <v>০</v>
      </c>
      <c r="F837" s="22" t="str">
        <f>"8119457815071"</f>
        <v>8119457815071</v>
      </c>
      <c r="G837" s="75" t="str">
        <f>"৬৭৫"</f>
        <v>৬৭৫</v>
      </c>
      <c r="H837" s="75" t="s">
        <v>320</v>
      </c>
      <c r="I837" s="75" t="s">
        <v>320</v>
      </c>
      <c r="J837" s="4"/>
    </row>
    <row r="838" spans="1:10" x14ac:dyDescent="0.25">
      <c r="A838" s="39">
        <v>837</v>
      </c>
      <c r="B838" s="3" t="s">
        <v>2390</v>
      </c>
      <c r="C838" s="75" t="s">
        <v>2330</v>
      </c>
      <c r="D838" s="75" t="s">
        <v>300</v>
      </c>
      <c r="E838" s="75" t="str">
        <f t="shared" si="8"/>
        <v>০</v>
      </c>
      <c r="F838" s="22" t="str">
        <f>"8119457815297"</f>
        <v>8119457815297</v>
      </c>
      <c r="G838" s="75" t="str">
        <f>"৬৭৪"</f>
        <v>৬৭৪</v>
      </c>
      <c r="H838" s="75" t="s">
        <v>315</v>
      </c>
      <c r="I838" s="75" t="s">
        <v>315</v>
      </c>
      <c r="J838" s="4"/>
    </row>
    <row r="839" spans="1:10" x14ac:dyDescent="0.25">
      <c r="A839" s="39">
        <v>838</v>
      </c>
      <c r="B839" s="3" t="s">
        <v>2391</v>
      </c>
      <c r="C839" s="75" t="s">
        <v>2392</v>
      </c>
      <c r="D839" s="75" t="s">
        <v>300</v>
      </c>
      <c r="E839" s="75" t="str">
        <f t="shared" si="8"/>
        <v>০</v>
      </c>
      <c r="F839" s="22" t="str">
        <f>"8119457816476"</f>
        <v>8119457816476</v>
      </c>
      <c r="G839" s="75" t="str">
        <f>"৬৭৩"</f>
        <v>৬৭৩</v>
      </c>
      <c r="H839" s="75" t="s">
        <v>313</v>
      </c>
      <c r="I839" s="75" t="s">
        <v>313</v>
      </c>
      <c r="J839" s="4"/>
    </row>
    <row r="840" spans="1:10" x14ac:dyDescent="0.25">
      <c r="A840" s="39">
        <v>839</v>
      </c>
      <c r="B840" s="3" t="s">
        <v>2393</v>
      </c>
      <c r="C840" s="75" t="s">
        <v>1871</v>
      </c>
      <c r="D840" s="75" t="s">
        <v>300</v>
      </c>
      <c r="E840" s="75" t="str">
        <f t="shared" si="8"/>
        <v>০</v>
      </c>
      <c r="F840" s="22" t="str">
        <f>"8119457810132"</f>
        <v>8119457810132</v>
      </c>
      <c r="G840" s="75" t="str">
        <f>"৬৭২"</f>
        <v>৬৭২</v>
      </c>
      <c r="H840" s="75" t="s">
        <v>314</v>
      </c>
      <c r="I840" s="75" t="s">
        <v>314</v>
      </c>
      <c r="J840" s="4"/>
    </row>
    <row r="841" spans="1:10" x14ac:dyDescent="0.25">
      <c r="A841" s="39">
        <v>840</v>
      </c>
      <c r="B841" s="3" t="s">
        <v>2394</v>
      </c>
      <c r="C841" s="75" t="s">
        <v>1720</v>
      </c>
      <c r="D841" s="75" t="s">
        <v>300</v>
      </c>
      <c r="E841" s="75" t="str">
        <f t="shared" si="8"/>
        <v>০</v>
      </c>
      <c r="F841" s="22" t="str">
        <f>"8119457810014"</f>
        <v>8119457810014</v>
      </c>
      <c r="G841" s="75" t="str">
        <f>"৬৭১"</f>
        <v>৬৭১</v>
      </c>
      <c r="H841" s="75" t="s">
        <v>321</v>
      </c>
      <c r="I841" s="75" t="s">
        <v>321</v>
      </c>
      <c r="J841" s="4"/>
    </row>
    <row r="842" spans="1:10" x14ac:dyDescent="0.25">
      <c r="A842" s="39">
        <v>841</v>
      </c>
      <c r="B842" s="3" t="s">
        <v>2395</v>
      </c>
      <c r="C842" s="75" t="s">
        <v>2396</v>
      </c>
      <c r="D842" s="75" t="s">
        <v>300</v>
      </c>
      <c r="E842" s="75" t="str">
        <f t="shared" si="8"/>
        <v>০</v>
      </c>
      <c r="F842" s="22" t="str">
        <f>"8119457815296"</f>
        <v>8119457815296</v>
      </c>
      <c r="G842" s="75" t="str">
        <f>"৬৭০"</f>
        <v>৬৭০</v>
      </c>
      <c r="H842" s="75" t="s">
        <v>322</v>
      </c>
      <c r="I842" s="75" t="s">
        <v>322</v>
      </c>
      <c r="J842" s="4"/>
    </row>
    <row r="843" spans="1:10" x14ac:dyDescent="0.25">
      <c r="A843" s="39">
        <v>842</v>
      </c>
      <c r="B843" s="3" t="s">
        <v>1628</v>
      </c>
      <c r="C843" s="75" t="s">
        <v>2397</v>
      </c>
      <c r="D843" s="75" t="s">
        <v>300</v>
      </c>
      <c r="E843" s="75" t="str">
        <f t="shared" si="8"/>
        <v>০</v>
      </c>
      <c r="F843" s="22" t="str">
        <f>"8119457815254"</f>
        <v>8119457815254</v>
      </c>
      <c r="G843" s="75" t="str">
        <f>"৬৬৯"</f>
        <v>৬৬৯</v>
      </c>
      <c r="H843" s="75" t="s">
        <v>314</v>
      </c>
      <c r="I843" s="75" t="s">
        <v>314</v>
      </c>
      <c r="J843" s="4"/>
    </row>
    <row r="844" spans="1:10" x14ac:dyDescent="0.25">
      <c r="A844" s="39">
        <v>843</v>
      </c>
      <c r="B844" s="3" t="s">
        <v>2398</v>
      </c>
      <c r="C844" s="75" t="s">
        <v>2258</v>
      </c>
      <c r="D844" s="75" t="s">
        <v>300</v>
      </c>
      <c r="E844" s="75" t="str">
        <f t="shared" si="8"/>
        <v>০</v>
      </c>
      <c r="F844" s="22" t="str">
        <f>"8119457811559"</f>
        <v>8119457811559</v>
      </c>
      <c r="G844" s="75" t="str">
        <f>"৬৬৮"</f>
        <v>৬৬৮</v>
      </c>
      <c r="H844" s="75" t="s">
        <v>323</v>
      </c>
      <c r="I844" s="75" t="s">
        <v>323</v>
      </c>
      <c r="J844" s="4"/>
    </row>
    <row r="845" spans="1:10" x14ac:dyDescent="0.25">
      <c r="A845" s="39">
        <v>844</v>
      </c>
      <c r="B845" s="3" t="s">
        <v>2399</v>
      </c>
      <c r="C845" s="75" t="s">
        <v>2270</v>
      </c>
      <c r="D845" s="75" t="s">
        <v>300</v>
      </c>
      <c r="E845" s="75" t="str">
        <f t="shared" si="8"/>
        <v>০</v>
      </c>
      <c r="F845" s="22" t="str">
        <f>"8119457815324"</f>
        <v>8119457815324</v>
      </c>
      <c r="G845" s="75" t="str">
        <f>"৬৬৭"</f>
        <v>৬৬৭</v>
      </c>
      <c r="H845" s="75" t="s">
        <v>324</v>
      </c>
      <c r="I845" s="75" t="s">
        <v>324</v>
      </c>
      <c r="J845" s="4"/>
    </row>
    <row r="846" spans="1:10" x14ac:dyDescent="0.25">
      <c r="A846" s="39">
        <v>845</v>
      </c>
      <c r="B846" s="3" t="s">
        <v>1791</v>
      </c>
      <c r="C846" s="75" t="s">
        <v>2161</v>
      </c>
      <c r="D846" s="75" t="s">
        <v>300</v>
      </c>
      <c r="E846" s="75" t="str">
        <f t="shared" si="8"/>
        <v>০</v>
      </c>
      <c r="F846" s="22" t="str">
        <f>"8119457815241"</f>
        <v>8119457815241</v>
      </c>
      <c r="G846" s="75" t="str">
        <f>"৬৬৬"</f>
        <v>৬৬৬</v>
      </c>
      <c r="H846" s="75" t="s">
        <v>325</v>
      </c>
      <c r="I846" s="75" t="s">
        <v>325</v>
      </c>
      <c r="J846" s="4"/>
    </row>
    <row r="847" spans="1:10" x14ac:dyDescent="0.25">
      <c r="A847" s="39">
        <v>846</v>
      </c>
      <c r="B847" s="3" t="s">
        <v>2400</v>
      </c>
      <c r="C847" s="75" t="s">
        <v>2401</v>
      </c>
      <c r="D847" s="75" t="s">
        <v>300</v>
      </c>
      <c r="E847" s="75" t="str">
        <f t="shared" si="8"/>
        <v>০</v>
      </c>
      <c r="F847" s="22" t="str">
        <f>"8119457810066"</f>
        <v>8119457810066</v>
      </c>
      <c r="G847" s="75" t="str">
        <f>"৬৬৫"</f>
        <v>৬৬৫</v>
      </c>
      <c r="H847" s="75" t="s">
        <v>319</v>
      </c>
      <c r="I847" s="75" t="s">
        <v>319</v>
      </c>
      <c r="J847" s="4"/>
    </row>
    <row r="848" spans="1:10" x14ac:dyDescent="0.25">
      <c r="A848" s="39">
        <v>847</v>
      </c>
      <c r="B848" s="3" t="s">
        <v>1970</v>
      </c>
      <c r="C848" s="75" t="s">
        <v>2084</v>
      </c>
      <c r="D848" s="75" t="s">
        <v>300</v>
      </c>
      <c r="E848" s="75" t="str">
        <f t="shared" si="8"/>
        <v>০</v>
      </c>
      <c r="F848" s="22" t="str">
        <f>"8119457816507"</f>
        <v>8119457816507</v>
      </c>
      <c r="G848" s="75" t="str">
        <f>"৬৬৪"</f>
        <v>৬৬৪</v>
      </c>
      <c r="H848" s="75" t="s">
        <v>326</v>
      </c>
      <c r="I848" s="75" t="s">
        <v>326</v>
      </c>
      <c r="J848" s="4"/>
    </row>
    <row r="849" spans="1:10" x14ac:dyDescent="0.25">
      <c r="A849" s="39">
        <v>848</v>
      </c>
      <c r="B849" s="3" t="s">
        <v>1729</v>
      </c>
      <c r="C849" s="75" t="s">
        <v>2402</v>
      </c>
      <c r="D849" s="75" t="s">
        <v>300</v>
      </c>
      <c r="E849" s="75" t="str">
        <f t="shared" si="8"/>
        <v>০</v>
      </c>
      <c r="F849" s="22" t="str">
        <f>"8119457815491"</f>
        <v>8119457815491</v>
      </c>
      <c r="G849" s="75" t="str">
        <f>"৬৬৩"</f>
        <v>৬৬৩</v>
      </c>
      <c r="H849" s="75" t="s">
        <v>327</v>
      </c>
      <c r="I849" s="75" t="s">
        <v>327</v>
      </c>
      <c r="J849" s="4"/>
    </row>
    <row r="850" spans="1:10" x14ac:dyDescent="0.25">
      <c r="A850" s="39">
        <v>849</v>
      </c>
      <c r="B850" s="3" t="s">
        <v>2403</v>
      </c>
      <c r="C850" s="75" t="s">
        <v>2404</v>
      </c>
      <c r="D850" s="75" t="s">
        <v>300</v>
      </c>
      <c r="E850" s="75" t="str">
        <f t="shared" si="8"/>
        <v>০</v>
      </c>
      <c r="F850" s="22" t="str">
        <f>"8119457816453"</f>
        <v>8119457816453</v>
      </c>
      <c r="G850" s="75" t="str">
        <f>"৬৬২"</f>
        <v>৬৬২</v>
      </c>
      <c r="H850" s="75" t="s">
        <v>328</v>
      </c>
      <c r="I850" s="75" t="s">
        <v>328</v>
      </c>
      <c r="J850" s="4"/>
    </row>
    <row r="851" spans="1:10" x14ac:dyDescent="0.25">
      <c r="A851" s="39">
        <v>850</v>
      </c>
      <c r="B851" s="3" t="s">
        <v>2405</v>
      </c>
      <c r="C851" s="75" t="s">
        <v>2406</v>
      </c>
      <c r="D851" s="75" t="s">
        <v>300</v>
      </c>
      <c r="E851" s="75" t="str">
        <f t="shared" si="8"/>
        <v>০</v>
      </c>
      <c r="F851" s="22" t="str">
        <f>"8119457810076"</f>
        <v>8119457810076</v>
      </c>
      <c r="G851" s="75" t="str">
        <f>"৬৬১"</f>
        <v>৬৬১</v>
      </c>
      <c r="H851" s="75" t="s">
        <v>329</v>
      </c>
      <c r="I851" s="75" t="s">
        <v>329</v>
      </c>
      <c r="J851" s="4"/>
    </row>
    <row r="852" spans="1:10" x14ac:dyDescent="0.25">
      <c r="A852" s="39">
        <v>851</v>
      </c>
      <c r="B852" s="3" t="s">
        <v>2407</v>
      </c>
      <c r="C852" s="75" t="s">
        <v>2235</v>
      </c>
      <c r="D852" s="75" t="s">
        <v>300</v>
      </c>
      <c r="E852" s="75" t="str">
        <f t="shared" si="8"/>
        <v>০</v>
      </c>
      <c r="F852" s="22" t="str">
        <f>"8119457815257"</f>
        <v>8119457815257</v>
      </c>
      <c r="G852" s="75" t="str">
        <f>"৬৬০"</f>
        <v>৬৬০</v>
      </c>
      <c r="H852" s="75" t="s">
        <v>330</v>
      </c>
      <c r="I852" s="75" t="s">
        <v>330</v>
      </c>
      <c r="J852" s="4"/>
    </row>
    <row r="853" spans="1:10" x14ac:dyDescent="0.25">
      <c r="A853" s="39">
        <v>852</v>
      </c>
      <c r="B853" s="3" t="s">
        <v>2151</v>
      </c>
      <c r="C853" s="75" t="s">
        <v>2408</v>
      </c>
      <c r="D853" s="75" t="s">
        <v>300</v>
      </c>
      <c r="E853" s="75" t="str">
        <f t="shared" si="8"/>
        <v>০</v>
      </c>
      <c r="F853" s="22" t="str">
        <f>"8119457816366"</f>
        <v>8119457816366</v>
      </c>
      <c r="G853" s="75" t="str">
        <f>"৬৫৯"</f>
        <v>৬৫৯</v>
      </c>
      <c r="H853" s="75" t="s">
        <v>319</v>
      </c>
      <c r="I853" s="75" t="s">
        <v>319</v>
      </c>
      <c r="J853" s="4"/>
    </row>
    <row r="854" spans="1:10" x14ac:dyDescent="0.25">
      <c r="A854" s="39">
        <v>853</v>
      </c>
      <c r="B854" s="3" t="s">
        <v>1578</v>
      </c>
      <c r="C854" s="75" t="s">
        <v>2409</v>
      </c>
      <c r="D854" s="75" t="s">
        <v>300</v>
      </c>
      <c r="E854" s="75" t="str">
        <f t="shared" si="8"/>
        <v>০</v>
      </c>
      <c r="F854" s="22" t="str">
        <f>"8119457815353"</f>
        <v>8119457815353</v>
      </c>
      <c r="G854" s="75" t="str">
        <f>"৬৫৮"</f>
        <v>৬৫৮</v>
      </c>
      <c r="H854" s="75" t="s">
        <v>317</v>
      </c>
      <c r="I854" s="75" t="s">
        <v>317</v>
      </c>
      <c r="J854" s="4"/>
    </row>
    <row r="855" spans="1:10" x14ac:dyDescent="0.25">
      <c r="A855" s="39">
        <v>854</v>
      </c>
      <c r="B855" s="3" t="s">
        <v>1549</v>
      </c>
      <c r="C855" s="75" t="s">
        <v>2410</v>
      </c>
      <c r="D855" s="75" t="s">
        <v>300</v>
      </c>
      <c r="E855" s="75" t="str">
        <f t="shared" si="8"/>
        <v>০</v>
      </c>
      <c r="F855" s="22" t="str">
        <f>"8119457815393"</f>
        <v>8119457815393</v>
      </c>
      <c r="G855" s="75" t="str">
        <f>"৬৫৭"</f>
        <v>৬৫৭</v>
      </c>
      <c r="H855" s="75" t="s">
        <v>323</v>
      </c>
      <c r="I855" s="75" t="s">
        <v>323</v>
      </c>
      <c r="J855" s="4"/>
    </row>
    <row r="856" spans="1:10" x14ac:dyDescent="0.25">
      <c r="A856" s="39">
        <v>855</v>
      </c>
      <c r="B856" s="3" t="s">
        <v>2411</v>
      </c>
      <c r="C856" s="75" t="s">
        <v>1975</v>
      </c>
      <c r="D856" s="75" t="s">
        <v>300</v>
      </c>
      <c r="E856" s="75" t="str">
        <f t="shared" si="8"/>
        <v>০</v>
      </c>
      <c r="F856" s="22" t="str">
        <f>"8119457815302"</f>
        <v>8119457815302</v>
      </c>
      <c r="G856" s="75" t="str">
        <f>"৬৫৬"</f>
        <v>৬৫৬</v>
      </c>
      <c r="H856" s="75" t="s">
        <v>326</v>
      </c>
      <c r="I856" s="75" t="s">
        <v>326</v>
      </c>
      <c r="J856" s="4"/>
    </row>
    <row r="857" spans="1:10" x14ac:dyDescent="0.25">
      <c r="A857" s="39">
        <v>856</v>
      </c>
      <c r="B857" s="3" t="s">
        <v>2412</v>
      </c>
      <c r="C857" s="75" t="s">
        <v>2413</v>
      </c>
      <c r="D857" s="75" t="s">
        <v>300</v>
      </c>
      <c r="E857" s="75" t="str">
        <f t="shared" si="8"/>
        <v>০</v>
      </c>
      <c r="F857" s="22" t="str">
        <f>"8119457815217"</f>
        <v>8119457815217</v>
      </c>
      <c r="G857" s="75" t="str">
        <f>"৬৫৫"</f>
        <v>৬৫৫</v>
      </c>
      <c r="H857" s="75" t="s">
        <v>331</v>
      </c>
      <c r="I857" s="75" t="s">
        <v>331</v>
      </c>
      <c r="J857" s="4"/>
    </row>
    <row r="858" spans="1:10" x14ac:dyDescent="0.25">
      <c r="A858" s="39">
        <v>857</v>
      </c>
      <c r="B858" s="3" t="s">
        <v>2414</v>
      </c>
      <c r="C858" s="75" t="s">
        <v>2415</v>
      </c>
      <c r="D858" s="75" t="s">
        <v>300</v>
      </c>
      <c r="E858" s="75" t="str">
        <f t="shared" si="8"/>
        <v>০</v>
      </c>
      <c r="F858" s="22" t="str">
        <f>"8119457815054"</f>
        <v>8119457815054</v>
      </c>
      <c r="G858" s="75" t="str">
        <f>"৬৫৪"</f>
        <v>৬৫৪</v>
      </c>
      <c r="H858" s="75" t="s">
        <v>329</v>
      </c>
      <c r="I858" s="75" t="s">
        <v>329</v>
      </c>
      <c r="J858" s="4"/>
    </row>
    <row r="859" spans="1:10" x14ac:dyDescent="0.25">
      <c r="A859" s="39">
        <v>858</v>
      </c>
      <c r="B859" s="3" t="s">
        <v>2416</v>
      </c>
      <c r="C859" s="75" t="s">
        <v>2417</v>
      </c>
      <c r="D859" s="75" t="s">
        <v>300</v>
      </c>
      <c r="E859" s="75" t="str">
        <f t="shared" si="8"/>
        <v>০</v>
      </c>
      <c r="F859" s="22" t="str">
        <f>"811945781"</f>
        <v>811945781</v>
      </c>
      <c r="G859" s="75" t="str">
        <f>"৬৫৩"</f>
        <v>৬৫৩</v>
      </c>
      <c r="H859" s="75" t="s">
        <v>332</v>
      </c>
      <c r="I859" s="75" t="s">
        <v>332</v>
      </c>
      <c r="J859" s="4"/>
    </row>
    <row r="860" spans="1:10" x14ac:dyDescent="0.25">
      <c r="A860" s="39">
        <v>859</v>
      </c>
      <c r="B860" s="3" t="s">
        <v>2418</v>
      </c>
      <c r="C860" s="75" t="s">
        <v>1541</v>
      </c>
      <c r="D860" s="75" t="s">
        <v>300</v>
      </c>
      <c r="E860" s="75" t="str">
        <f t="shared" si="8"/>
        <v>০</v>
      </c>
      <c r="F860" s="22" t="str">
        <f>"8119457815329"</f>
        <v>8119457815329</v>
      </c>
      <c r="G860" s="75" t="str">
        <f>"৬৫২"</f>
        <v>৬৫২</v>
      </c>
      <c r="H860" s="75" t="s">
        <v>316</v>
      </c>
      <c r="I860" s="75" t="s">
        <v>316</v>
      </c>
      <c r="J860" s="4"/>
    </row>
    <row r="861" spans="1:10" x14ac:dyDescent="0.25">
      <c r="A861" s="39">
        <v>860</v>
      </c>
      <c r="B861" s="3" t="s">
        <v>1673</v>
      </c>
      <c r="C861" s="75" t="s">
        <v>1558</v>
      </c>
      <c r="D861" s="75" t="s">
        <v>300</v>
      </c>
      <c r="E861" s="75" t="str">
        <f t="shared" si="8"/>
        <v>০</v>
      </c>
      <c r="F861" s="22" t="str">
        <f>"8119457815162"</f>
        <v>8119457815162</v>
      </c>
      <c r="G861" s="75" t="str">
        <f>"৬৫১"</f>
        <v>৬৫১</v>
      </c>
      <c r="H861" s="75" t="s">
        <v>330</v>
      </c>
      <c r="I861" s="75" t="s">
        <v>330</v>
      </c>
      <c r="J861" s="4"/>
    </row>
    <row r="862" spans="1:10" x14ac:dyDescent="0.25">
      <c r="A862" s="39">
        <v>861</v>
      </c>
      <c r="B862" s="3" t="s">
        <v>2419</v>
      </c>
      <c r="C862" s="75" t="s">
        <v>2420</v>
      </c>
      <c r="D862" s="75" t="s">
        <v>300</v>
      </c>
      <c r="E862" s="75" t="str">
        <f t="shared" si="8"/>
        <v>০</v>
      </c>
      <c r="F862" s="22" t="str">
        <f>"8119457815300"</f>
        <v>8119457815300</v>
      </c>
      <c r="G862" s="75" t="str">
        <f>"৬৫০"</f>
        <v>৬৫০</v>
      </c>
      <c r="H862" s="75" t="s">
        <v>333</v>
      </c>
      <c r="I862" s="75" t="s">
        <v>333</v>
      </c>
      <c r="J862" s="4"/>
    </row>
    <row r="863" spans="1:10" x14ac:dyDescent="0.25">
      <c r="A863" s="39">
        <v>862</v>
      </c>
      <c r="B863" s="3" t="s">
        <v>2421</v>
      </c>
      <c r="C863" s="75" t="s">
        <v>1677</v>
      </c>
      <c r="D863" s="75" t="s">
        <v>300</v>
      </c>
      <c r="E863" s="75" t="str">
        <f t="shared" si="8"/>
        <v>০</v>
      </c>
      <c r="F863" s="22" t="str">
        <f>"8119457816490"</f>
        <v>8119457816490</v>
      </c>
      <c r="G863" s="75" t="str">
        <f>"৬৪৯"</f>
        <v>৬৪৯</v>
      </c>
      <c r="H863" s="75" t="s">
        <v>319</v>
      </c>
      <c r="I863" s="75" t="s">
        <v>319</v>
      </c>
      <c r="J863" s="4"/>
    </row>
    <row r="864" spans="1:10" x14ac:dyDescent="0.25">
      <c r="A864" s="39">
        <v>863</v>
      </c>
      <c r="B864" s="3" t="s">
        <v>2422</v>
      </c>
      <c r="C864" s="75" t="s">
        <v>2423</v>
      </c>
      <c r="D864" s="75" t="s">
        <v>300</v>
      </c>
      <c r="E864" s="75" t="str">
        <f t="shared" si="8"/>
        <v>০</v>
      </c>
      <c r="F864" s="22" t="str">
        <f>"8119457815150"</f>
        <v>8119457815150</v>
      </c>
      <c r="G864" s="75" t="str">
        <f>"৬৪৮"</f>
        <v>৬৪৮</v>
      </c>
      <c r="H864" s="75" t="s">
        <v>322</v>
      </c>
      <c r="I864" s="75" t="s">
        <v>322</v>
      </c>
      <c r="J864" s="4"/>
    </row>
    <row r="865" spans="1:10" x14ac:dyDescent="0.25">
      <c r="A865" s="39">
        <v>864</v>
      </c>
      <c r="B865" s="3" t="s">
        <v>2424</v>
      </c>
      <c r="C865" s="75" t="s">
        <v>2425</v>
      </c>
      <c r="D865" s="75" t="s">
        <v>300</v>
      </c>
      <c r="E865" s="75" t="str">
        <f t="shared" si="8"/>
        <v>০</v>
      </c>
      <c r="F865" s="22" t="str">
        <f>"8119457815219"</f>
        <v>8119457815219</v>
      </c>
      <c r="G865" s="75" t="str">
        <f>"৬৪৭"</f>
        <v>৬৪৭</v>
      </c>
      <c r="H865" s="75" t="s">
        <v>319</v>
      </c>
      <c r="I865" s="75" t="s">
        <v>319</v>
      </c>
      <c r="J865" s="4"/>
    </row>
    <row r="866" spans="1:10" x14ac:dyDescent="0.25">
      <c r="A866" s="39">
        <v>865</v>
      </c>
      <c r="B866" s="3" t="s">
        <v>1653</v>
      </c>
      <c r="C866" s="75" t="s">
        <v>2296</v>
      </c>
      <c r="D866" s="75" t="s">
        <v>300</v>
      </c>
      <c r="E866" s="75" t="str">
        <f t="shared" si="8"/>
        <v>০</v>
      </c>
      <c r="F866" s="22" t="str">
        <f>"8119457815222"</f>
        <v>8119457815222</v>
      </c>
      <c r="G866" s="75" t="str">
        <f>"৬৪৬"</f>
        <v>৬৪৬</v>
      </c>
      <c r="H866" s="75" t="s">
        <v>313</v>
      </c>
      <c r="I866" s="75" t="s">
        <v>313</v>
      </c>
      <c r="J866" s="4"/>
    </row>
    <row r="867" spans="1:10" x14ac:dyDescent="0.25">
      <c r="A867" s="39">
        <v>866</v>
      </c>
      <c r="B867" s="3" t="s">
        <v>2426</v>
      </c>
      <c r="C867" s="75" t="s">
        <v>1690</v>
      </c>
      <c r="D867" s="75" t="s">
        <v>300</v>
      </c>
      <c r="E867" s="75" t="str">
        <f t="shared" si="8"/>
        <v>০</v>
      </c>
      <c r="F867" s="22" t="str">
        <f>"8119457815387"</f>
        <v>8119457815387</v>
      </c>
      <c r="G867" s="75" t="str">
        <f>"৬৪৫"</f>
        <v>৬৪৫</v>
      </c>
      <c r="H867" s="75" t="s">
        <v>314</v>
      </c>
      <c r="I867" s="75" t="s">
        <v>314</v>
      </c>
      <c r="J867" s="4"/>
    </row>
    <row r="868" spans="1:10" x14ac:dyDescent="0.25">
      <c r="A868" s="39">
        <v>867</v>
      </c>
      <c r="B868" s="3" t="s">
        <v>2427</v>
      </c>
      <c r="C868" s="75" t="s">
        <v>1937</v>
      </c>
      <c r="D868" s="75" t="s">
        <v>300</v>
      </c>
      <c r="E868" s="75" t="str">
        <f t="shared" si="8"/>
        <v>০</v>
      </c>
      <c r="F868" s="22" t="str">
        <f>"8119457815345"</f>
        <v>8119457815345</v>
      </c>
      <c r="G868" s="75" t="str">
        <f>"৬৪৪"</f>
        <v>৬৪৪</v>
      </c>
      <c r="H868" s="75" t="s">
        <v>315</v>
      </c>
      <c r="I868" s="75" t="s">
        <v>315</v>
      </c>
      <c r="J868" s="4"/>
    </row>
    <row r="869" spans="1:10" x14ac:dyDescent="0.25">
      <c r="A869" s="39">
        <v>868</v>
      </c>
      <c r="B869" s="3" t="s">
        <v>2428</v>
      </c>
      <c r="C869" s="75" t="s">
        <v>2270</v>
      </c>
      <c r="D869" s="75" t="s">
        <v>300</v>
      </c>
      <c r="E869" s="75" t="str">
        <f t="shared" si="8"/>
        <v>০</v>
      </c>
      <c r="F869" s="22" t="str">
        <f>"8119457815147"</f>
        <v>8119457815147</v>
      </c>
      <c r="G869" s="75" t="str">
        <f>"৬৪৩"</f>
        <v>৬৪৩</v>
      </c>
      <c r="H869" s="75" t="s">
        <v>316</v>
      </c>
      <c r="I869" s="75" t="s">
        <v>316</v>
      </c>
      <c r="J869" s="4"/>
    </row>
    <row r="870" spans="1:10" x14ac:dyDescent="0.25">
      <c r="A870" s="39">
        <v>869</v>
      </c>
      <c r="B870" s="3" t="s">
        <v>2429</v>
      </c>
      <c r="C870" s="75" t="s">
        <v>2296</v>
      </c>
      <c r="D870" s="75" t="s">
        <v>300</v>
      </c>
      <c r="E870" s="75" t="str">
        <f t="shared" si="8"/>
        <v>০</v>
      </c>
      <c r="F870" s="22" t="str">
        <f>"8119457815384"</f>
        <v>8119457815384</v>
      </c>
      <c r="G870" s="75" t="str">
        <f>"৬৪২"</f>
        <v>৬৪২</v>
      </c>
      <c r="H870" s="75" t="s">
        <v>317</v>
      </c>
      <c r="I870" s="75" t="s">
        <v>317</v>
      </c>
      <c r="J870" s="4"/>
    </row>
    <row r="871" spans="1:10" x14ac:dyDescent="0.25">
      <c r="A871" s="39">
        <v>870</v>
      </c>
      <c r="B871" s="3" t="s">
        <v>2430</v>
      </c>
      <c r="C871" s="75" t="s">
        <v>2431</v>
      </c>
      <c r="D871" s="75" t="s">
        <v>300</v>
      </c>
      <c r="E871" s="75" t="str">
        <f t="shared" si="8"/>
        <v>০</v>
      </c>
      <c r="F871" s="22" t="str">
        <f>"8119457815557"</f>
        <v>8119457815557</v>
      </c>
      <c r="G871" s="75" t="str">
        <f>"৬৪১"</f>
        <v>৬৪১</v>
      </c>
      <c r="H871" s="75" t="s">
        <v>318</v>
      </c>
      <c r="I871" s="75" t="s">
        <v>318</v>
      </c>
      <c r="J871" s="4"/>
    </row>
    <row r="872" spans="1:10" x14ac:dyDescent="0.25">
      <c r="A872" s="39">
        <v>871</v>
      </c>
      <c r="B872" s="3" t="s">
        <v>2432</v>
      </c>
      <c r="C872" s="75" t="s">
        <v>2433</v>
      </c>
      <c r="D872" s="75" t="s">
        <v>300</v>
      </c>
      <c r="E872" s="75" t="str">
        <f t="shared" si="8"/>
        <v>০</v>
      </c>
      <c r="F872" s="22" t="str">
        <f>"8119457815317"</f>
        <v>8119457815317</v>
      </c>
      <c r="G872" s="75" t="str">
        <f>"৬৪০"</f>
        <v>৬৪০</v>
      </c>
      <c r="H872" s="75" t="s">
        <v>319</v>
      </c>
      <c r="I872" s="75" t="s">
        <v>319</v>
      </c>
      <c r="J872" s="4"/>
    </row>
    <row r="873" spans="1:10" x14ac:dyDescent="0.25">
      <c r="A873" s="39">
        <v>872</v>
      </c>
      <c r="B873" s="3" t="s">
        <v>1828</v>
      </c>
      <c r="C873" s="75" t="s">
        <v>2434</v>
      </c>
      <c r="D873" s="75" t="s">
        <v>300</v>
      </c>
      <c r="E873" s="75" t="str">
        <f t="shared" si="8"/>
        <v>০</v>
      </c>
      <c r="F873" s="22" t="str">
        <f>"8119457815647"</f>
        <v>8119457815647</v>
      </c>
      <c r="G873" s="75" t="str">
        <f>"৬৩৯"</f>
        <v>৬৩৯</v>
      </c>
      <c r="H873" s="75" t="s">
        <v>320</v>
      </c>
      <c r="I873" s="75" t="s">
        <v>320</v>
      </c>
      <c r="J873" s="4"/>
    </row>
    <row r="874" spans="1:10" x14ac:dyDescent="0.25">
      <c r="A874" s="39">
        <v>873</v>
      </c>
      <c r="B874" s="3" t="s">
        <v>2435</v>
      </c>
      <c r="C874" s="75" t="s">
        <v>2436</v>
      </c>
      <c r="D874" s="75" t="s">
        <v>300</v>
      </c>
      <c r="E874" s="75" t="str">
        <f t="shared" si="8"/>
        <v>০</v>
      </c>
      <c r="F874" s="22" t="str">
        <f>"8119457815542"</f>
        <v>8119457815542</v>
      </c>
      <c r="G874" s="75" t="str">
        <f>"৬৩৮"</f>
        <v>৬৩৮</v>
      </c>
      <c r="H874" s="75" t="s">
        <v>315</v>
      </c>
      <c r="I874" s="75" t="s">
        <v>315</v>
      </c>
      <c r="J874" s="4"/>
    </row>
    <row r="875" spans="1:10" x14ac:dyDescent="0.25">
      <c r="A875" s="39">
        <v>874</v>
      </c>
      <c r="B875" s="3" t="s">
        <v>2437</v>
      </c>
      <c r="C875" s="75" t="s">
        <v>2238</v>
      </c>
      <c r="D875" s="75" t="s">
        <v>300</v>
      </c>
      <c r="E875" s="75" t="str">
        <f t="shared" si="8"/>
        <v>০</v>
      </c>
      <c r="F875" s="22" t="str">
        <f>"8119457816346"</f>
        <v>8119457816346</v>
      </c>
      <c r="G875" s="75" t="str">
        <f>"৬৩৭"</f>
        <v>৬৩৭</v>
      </c>
      <c r="H875" s="75" t="s">
        <v>313</v>
      </c>
      <c r="I875" s="75" t="s">
        <v>313</v>
      </c>
      <c r="J875" s="4"/>
    </row>
    <row r="876" spans="1:10" x14ac:dyDescent="0.25">
      <c r="A876" s="39">
        <v>875</v>
      </c>
      <c r="B876" s="3" t="s">
        <v>2438</v>
      </c>
      <c r="C876" s="75" t="s">
        <v>2439</v>
      </c>
      <c r="D876" s="75" t="s">
        <v>300</v>
      </c>
      <c r="E876" s="75" t="str">
        <f t="shared" si="8"/>
        <v>০</v>
      </c>
      <c r="F876" s="22" t="str">
        <f>"8119457816229"</f>
        <v>8119457816229</v>
      </c>
      <c r="G876" s="75" t="str">
        <f>"৬৩৬"</f>
        <v>৬৩৬</v>
      </c>
      <c r="H876" s="75" t="s">
        <v>314</v>
      </c>
      <c r="I876" s="75" t="s">
        <v>314</v>
      </c>
      <c r="J876" s="4"/>
    </row>
    <row r="877" spans="1:10" x14ac:dyDescent="0.25">
      <c r="A877" s="39">
        <v>876</v>
      </c>
      <c r="B877" s="3" t="s">
        <v>2238</v>
      </c>
      <c r="C877" s="75" t="s">
        <v>2440</v>
      </c>
      <c r="D877" s="75" t="s">
        <v>300</v>
      </c>
      <c r="E877" s="75" t="str">
        <f t="shared" ref="E877:E940" si="9">"০"</f>
        <v>০</v>
      </c>
      <c r="F877" s="22" t="str">
        <f>"8119457815535"</f>
        <v>8119457815535</v>
      </c>
      <c r="G877" s="75" t="str">
        <f>"৬৩৫"</f>
        <v>৬৩৫</v>
      </c>
      <c r="H877" s="75" t="s">
        <v>321</v>
      </c>
      <c r="I877" s="75" t="s">
        <v>321</v>
      </c>
      <c r="J877" s="4"/>
    </row>
    <row r="878" spans="1:10" x14ac:dyDescent="0.25">
      <c r="A878" s="39">
        <v>877</v>
      </c>
      <c r="B878" s="3" t="s">
        <v>2441</v>
      </c>
      <c r="C878" s="75" t="s">
        <v>2442</v>
      </c>
      <c r="D878" s="75" t="s">
        <v>300</v>
      </c>
      <c r="E878" s="75" t="str">
        <f t="shared" si="9"/>
        <v>০</v>
      </c>
      <c r="F878" s="22" t="str">
        <f>"8119457815528"</f>
        <v>8119457815528</v>
      </c>
      <c r="G878" s="75" t="str">
        <f>"৬৩৪"</f>
        <v>৬৩৪</v>
      </c>
      <c r="H878" s="75" t="s">
        <v>322</v>
      </c>
      <c r="I878" s="75" t="s">
        <v>322</v>
      </c>
      <c r="J878" s="4"/>
    </row>
    <row r="879" spans="1:10" x14ac:dyDescent="0.25">
      <c r="A879" s="39">
        <v>878</v>
      </c>
      <c r="B879" s="3" t="s">
        <v>2443</v>
      </c>
      <c r="C879" s="75" t="s">
        <v>2444</v>
      </c>
      <c r="D879" s="75" t="s">
        <v>300</v>
      </c>
      <c r="E879" s="75" t="str">
        <f t="shared" si="9"/>
        <v>০</v>
      </c>
      <c r="F879" s="22" t="str">
        <f>"8119457815592"</f>
        <v>8119457815592</v>
      </c>
      <c r="G879" s="75" t="str">
        <f>"৬৩৩"</f>
        <v>৬৩৩</v>
      </c>
      <c r="H879" s="75" t="s">
        <v>314</v>
      </c>
      <c r="I879" s="75" t="s">
        <v>314</v>
      </c>
      <c r="J879" s="4"/>
    </row>
    <row r="880" spans="1:10" x14ac:dyDescent="0.25">
      <c r="A880" s="39">
        <v>879</v>
      </c>
      <c r="B880" s="3" t="s">
        <v>2445</v>
      </c>
      <c r="C880" s="75" t="s">
        <v>2446</v>
      </c>
      <c r="D880" s="75" t="s">
        <v>300</v>
      </c>
      <c r="E880" s="75" t="str">
        <f t="shared" si="9"/>
        <v>০</v>
      </c>
      <c r="F880" s="22" t="str">
        <f>"8119457815437"</f>
        <v>8119457815437</v>
      </c>
      <c r="G880" s="75" t="str">
        <f>"৬৩২"</f>
        <v>৬৩২</v>
      </c>
      <c r="H880" s="75" t="s">
        <v>323</v>
      </c>
      <c r="I880" s="75" t="s">
        <v>323</v>
      </c>
      <c r="J880" s="4"/>
    </row>
    <row r="881" spans="1:10" x14ac:dyDescent="0.25">
      <c r="A881" s="39">
        <v>880</v>
      </c>
      <c r="B881" s="3" t="s">
        <v>2447</v>
      </c>
      <c r="C881" s="75" t="s">
        <v>2448</v>
      </c>
      <c r="D881" s="75" t="s">
        <v>300</v>
      </c>
      <c r="E881" s="75" t="str">
        <f t="shared" si="9"/>
        <v>০</v>
      </c>
      <c r="F881" s="22" t="str">
        <f>"8119457815378"</f>
        <v>8119457815378</v>
      </c>
      <c r="G881" s="75" t="str">
        <f>"৬৩১"</f>
        <v>৬৩১</v>
      </c>
      <c r="H881" s="75" t="s">
        <v>324</v>
      </c>
      <c r="I881" s="75" t="s">
        <v>324</v>
      </c>
      <c r="J881" s="4"/>
    </row>
    <row r="882" spans="1:10" x14ac:dyDescent="0.25">
      <c r="A882" s="39">
        <v>881</v>
      </c>
      <c r="B882" s="3" t="s">
        <v>2449</v>
      </c>
      <c r="C882" s="75" t="s">
        <v>2450</v>
      </c>
      <c r="D882" s="75" t="s">
        <v>300</v>
      </c>
      <c r="E882" s="75" t="str">
        <f t="shared" si="9"/>
        <v>০</v>
      </c>
      <c r="F882" s="22" t="str">
        <f>"8119457818967"</f>
        <v>8119457818967</v>
      </c>
      <c r="G882" s="75" t="str">
        <f>"৬৩০"</f>
        <v>৬৩০</v>
      </c>
      <c r="H882" s="75" t="s">
        <v>325</v>
      </c>
      <c r="I882" s="75" t="s">
        <v>325</v>
      </c>
      <c r="J882" s="4"/>
    </row>
    <row r="883" spans="1:10" x14ac:dyDescent="0.25">
      <c r="A883" s="39">
        <v>882</v>
      </c>
      <c r="B883" s="3" t="s">
        <v>2451</v>
      </c>
      <c r="C883" s="75" t="s">
        <v>2452</v>
      </c>
      <c r="D883" s="75" t="s">
        <v>300</v>
      </c>
      <c r="E883" s="75" t="str">
        <f t="shared" si="9"/>
        <v>০</v>
      </c>
      <c r="F883" s="22" t="str">
        <f>"8119457815089"</f>
        <v>8119457815089</v>
      </c>
      <c r="G883" s="75" t="str">
        <f>"৬২৯"</f>
        <v>৬২৯</v>
      </c>
      <c r="H883" s="75" t="s">
        <v>319</v>
      </c>
      <c r="I883" s="75" t="s">
        <v>319</v>
      </c>
      <c r="J883" s="4"/>
    </row>
    <row r="884" spans="1:10" x14ac:dyDescent="0.25">
      <c r="A884" s="39">
        <v>883</v>
      </c>
      <c r="B884" s="3" t="s">
        <v>1593</v>
      </c>
      <c r="C884" s="75" t="s">
        <v>1558</v>
      </c>
      <c r="D884" s="75" t="s">
        <v>300</v>
      </c>
      <c r="E884" s="75" t="str">
        <f t="shared" si="9"/>
        <v>০</v>
      </c>
      <c r="F884" s="22" t="str">
        <f>"8119457815281"</f>
        <v>8119457815281</v>
      </c>
      <c r="G884" s="75" t="str">
        <f>"৬২৮"</f>
        <v>৬২৮</v>
      </c>
      <c r="H884" s="75" t="s">
        <v>326</v>
      </c>
      <c r="I884" s="75" t="s">
        <v>326</v>
      </c>
      <c r="J884" s="4"/>
    </row>
    <row r="885" spans="1:10" x14ac:dyDescent="0.25">
      <c r="A885" s="39">
        <v>884</v>
      </c>
      <c r="B885" s="3" t="s">
        <v>2453</v>
      </c>
      <c r="C885" s="75" t="s">
        <v>2454</v>
      </c>
      <c r="D885" s="75" t="s">
        <v>300</v>
      </c>
      <c r="E885" s="75" t="str">
        <f t="shared" si="9"/>
        <v>০</v>
      </c>
      <c r="F885" s="22" t="str">
        <f>"8119457815455"</f>
        <v>8119457815455</v>
      </c>
      <c r="G885" s="75" t="str">
        <f>"৬২৭"</f>
        <v>৬২৭</v>
      </c>
      <c r="H885" s="75" t="s">
        <v>327</v>
      </c>
      <c r="I885" s="75" t="s">
        <v>327</v>
      </c>
      <c r="J885" s="4"/>
    </row>
    <row r="886" spans="1:10" x14ac:dyDescent="0.25">
      <c r="A886" s="39">
        <v>885</v>
      </c>
      <c r="B886" s="3" t="s">
        <v>2455</v>
      </c>
      <c r="C886" s="75" t="s">
        <v>1961</v>
      </c>
      <c r="D886" s="75" t="s">
        <v>300</v>
      </c>
      <c r="E886" s="75" t="str">
        <f t="shared" si="9"/>
        <v>০</v>
      </c>
      <c r="F886" s="22" t="str">
        <f>"8119457816304"</f>
        <v>8119457816304</v>
      </c>
      <c r="G886" s="75" t="str">
        <f>"৬২৬"</f>
        <v>৬২৬</v>
      </c>
      <c r="H886" s="75" t="s">
        <v>328</v>
      </c>
      <c r="I886" s="75" t="s">
        <v>328</v>
      </c>
      <c r="J886" s="4"/>
    </row>
    <row r="887" spans="1:10" x14ac:dyDescent="0.25">
      <c r="A887" s="39">
        <v>886</v>
      </c>
      <c r="B887" s="3" t="s">
        <v>2456</v>
      </c>
      <c r="C887" s="75" t="s">
        <v>2457</v>
      </c>
      <c r="D887" s="75" t="s">
        <v>300</v>
      </c>
      <c r="E887" s="75" t="str">
        <f t="shared" si="9"/>
        <v>০</v>
      </c>
      <c r="F887" s="22" t="str">
        <f>"8119457815301"</f>
        <v>8119457815301</v>
      </c>
      <c r="G887" s="75" t="str">
        <f>"৬২৫"</f>
        <v>৬২৫</v>
      </c>
      <c r="H887" s="75" t="s">
        <v>329</v>
      </c>
      <c r="I887" s="75" t="s">
        <v>329</v>
      </c>
      <c r="J887" s="4"/>
    </row>
    <row r="888" spans="1:10" x14ac:dyDescent="0.25">
      <c r="A888" s="39">
        <v>887</v>
      </c>
      <c r="B888" s="3" t="s">
        <v>2458</v>
      </c>
      <c r="C888" s="75" t="s">
        <v>2459</v>
      </c>
      <c r="D888" s="75" t="s">
        <v>300</v>
      </c>
      <c r="E888" s="75" t="str">
        <f t="shared" si="9"/>
        <v>০</v>
      </c>
      <c r="F888" s="22" t="str">
        <f>"8119457816286"</f>
        <v>8119457816286</v>
      </c>
      <c r="G888" s="75" t="str">
        <f>"৬২৪"</f>
        <v>৬২৪</v>
      </c>
      <c r="H888" s="75" t="s">
        <v>330</v>
      </c>
      <c r="I888" s="75" t="s">
        <v>330</v>
      </c>
      <c r="J888" s="4"/>
    </row>
    <row r="889" spans="1:10" x14ac:dyDescent="0.25">
      <c r="A889" s="39">
        <v>888</v>
      </c>
      <c r="B889" s="3" t="s">
        <v>2460</v>
      </c>
      <c r="C889" s="75" t="s">
        <v>1961</v>
      </c>
      <c r="D889" s="75" t="s">
        <v>300</v>
      </c>
      <c r="E889" s="75" t="str">
        <f t="shared" si="9"/>
        <v>০</v>
      </c>
      <c r="F889" s="22" t="str">
        <f>"8119457810005"</f>
        <v>8119457810005</v>
      </c>
      <c r="G889" s="75" t="str">
        <f>"৬২৩"</f>
        <v>৬২৩</v>
      </c>
      <c r="H889" s="75" t="s">
        <v>319</v>
      </c>
      <c r="I889" s="75" t="s">
        <v>319</v>
      </c>
      <c r="J889" s="4"/>
    </row>
    <row r="890" spans="1:10" x14ac:dyDescent="0.25">
      <c r="A890" s="39">
        <v>889</v>
      </c>
      <c r="B890" s="3" t="s">
        <v>2461</v>
      </c>
      <c r="C890" s="75" t="s">
        <v>2462</v>
      </c>
      <c r="D890" s="75" t="s">
        <v>300</v>
      </c>
      <c r="E890" s="75" t="str">
        <f t="shared" si="9"/>
        <v>০</v>
      </c>
      <c r="F890" s="22" t="str">
        <f>"8119457815451"</f>
        <v>8119457815451</v>
      </c>
      <c r="G890" s="75" t="str">
        <f>"৬২২"</f>
        <v>৬২২</v>
      </c>
      <c r="H890" s="75" t="s">
        <v>317</v>
      </c>
      <c r="I890" s="75" t="s">
        <v>317</v>
      </c>
      <c r="J890" s="4"/>
    </row>
    <row r="891" spans="1:10" x14ac:dyDescent="0.25">
      <c r="A891" s="39">
        <v>890</v>
      </c>
      <c r="B891" s="3" t="s">
        <v>1791</v>
      </c>
      <c r="C891" s="75" t="s">
        <v>2463</v>
      </c>
      <c r="D891" s="75" t="s">
        <v>300</v>
      </c>
      <c r="E891" s="75" t="str">
        <f t="shared" si="9"/>
        <v>০</v>
      </c>
      <c r="F891" s="22" t="str">
        <f>"8119457815194"</f>
        <v>8119457815194</v>
      </c>
      <c r="G891" s="75" t="str">
        <f>"৬২১"</f>
        <v>৬২১</v>
      </c>
      <c r="H891" s="75" t="s">
        <v>323</v>
      </c>
      <c r="I891" s="75" t="s">
        <v>323</v>
      </c>
      <c r="J891" s="4"/>
    </row>
    <row r="892" spans="1:10" x14ac:dyDescent="0.25">
      <c r="A892" s="39">
        <v>891</v>
      </c>
      <c r="B892" s="3" t="s">
        <v>2464</v>
      </c>
      <c r="C892" s="75" t="s">
        <v>2452</v>
      </c>
      <c r="D892" s="75" t="s">
        <v>300</v>
      </c>
      <c r="E892" s="75" t="str">
        <f t="shared" si="9"/>
        <v>০</v>
      </c>
      <c r="F892" s="22" t="str">
        <f>"8119457815197"</f>
        <v>8119457815197</v>
      </c>
      <c r="G892" s="75" t="str">
        <f>"৬২০"</f>
        <v>৬২০</v>
      </c>
      <c r="H892" s="75" t="s">
        <v>326</v>
      </c>
      <c r="I892" s="75" t="s">
        <v>326</v>
      </c>
      <c r="J892" s="4"/>
    </row>
    <row r="893" spans="1:10" x14ac:dyDescent="0.25">
      <c r="A893" s="39">
        <v>892</v>
      </c>
      <c r="B893" s="3" t="s">
        <v>2465</v>
      </c>
      <c r="C893" s="75" t="s">
        <v>2466</v>
      </c>
      <c r="D893" s="75" t="s">
        <v>300</v>
      </c>
      <c r="E893" s="75" t="str">
        <f t="shared" si="9"/>
        <v>০</v>
      </c>
      <c r="F893" s="22" t="str">
        <f>"8119457815304"</f>
        <v>8119457815304</v>
      </c>
      <c r="G893" s="75" t="str">
        <f>"৬১৯"</f>
        <v>৬১৯</v>
      </c>
      <c r="H893" s="75" t="s">
        <v>331</v>
      </c>
      <c r="I893" s="75" t="s">
        <v>331</v>
      </c>
      <c r="J893" s="4"/>
    </row>
    <row r="894" spans="1:10" x14ac:dyDescent="0.25">
      <c r="A894" s="39">
        <v>893</v>
      </c>
      <c r="B894" s="3" t="s">
        <v>2467</v>
      </c>
      <c r="C894" s="75" t="s">
        <v>2466</v>
      </c>
      <c r="D894" s="75" t="s">
        <v>300</v>
      </c>
      <c r="E894" s="75" t="str">
        <f t="shared" si="9"/>
        <v>০</v>
      </c>
      <c r="F894" s="22" t="str">
        <f>"8119457815463"</f>
        <v>8119457815463</v>
      </c>
      <c r="G894" s="75" t="str">
        <f>"৬১৮"</f>
        <v>৬১৮</v>
      </c>
      <c r="H894" s="75" t="s">
        <v>329</v>
      </c>
      <c r="I894" s="75" t="s">
        <v>329</v>
      </c>
      <c r="J894" s="4"/>
    </row>
    <row r="895" spans="1:10" x14ac:dyDescent="0.25">
      <c r="A895" s="39">
        <v>894</v>
      </c>
      <c r="B895" s="3" t="s">
        <v>2466</v>
      </c>
      <c r="C895" s="75" t="s">
        <v>2468</v>
      </c>
      <c r="D895" s="75" t="s">
        <v>300</v>
      </c>
      <c r="E895" s="75" t="str">
        <f t="shared" si="9"/>
        <v>০</v>
      </c>
      <c r="F895" s="22" t="str">
        <f>"8119457815252"</f>
        <v>8119457815252</v>
      </c>
      <c r="G895" s="75" t="str">
        <f>"৬১৭"</f>
        <v>৬১৭</v>
      </c>
      <c r="H895" s="75" t="s">
        <v>332</v>
      </c>
      <c r="I895" s="75" t="s">
        <v>332</v>
      </c>
      <c r="J895" s="4"/>
    </row>
    <row r="896" spans="1:10" x14ac:dyDescent="0.25">
      <c r="A896" s="39">
        <v>895</v>
      </c>
      <c r="B896" s="3" t="s">
        <v>2469</v>
      </c>
      <c r="C896" s="75" t="s">
        <v>2470</v>
      </c>
      <c r="D896" s="75" t="s">
        <v>300</v>
      </c>
      <c r="E896" s="75" t="str">
        <f t="shared" si="9"/>
        <v>০</v>
      </c>
      <c r="F896" s="22" t="str">
        <f>"8119457816401"</f>
        <v>8119457816401</v>
      </c>
      <c r="G896" s="75" t="str">
        <f>"৬১৬"</f>
        <v>৬১৬</v>
      </c>
      <c r="H896" s="75" t="s">
        <v>316</v>
      </c>
      <c r="I896" s="75" t="s">
        <v>316</v>
      </c>
      <c r="J896" s="4"/>
    </row>
    <row r="897" spans="1:10" x14ac:dyDescent="0.25">
      <c r="A897" s="39">
        <v>896</v>
      </c>
      <c r="B897" s="3" t="s">
        <v>2471</v>
      </c>
      <c r="C897" s="75" t="s">
        <v>2472</v>
      </c>
      <c r="D897" s="75" t="s">
        <v>300</v>
      </c>
      <c r="E897" s="75" t="str">
        <f t="shared" si="9"/>
        <v>০</v>
      </c>
      <c r="F897" s="22" t="str">
        <f>"8119457815275"</f>
        <v>8119457815275</v>
      </c>
      <c r="G897" s="75" t="str">
        <f>"৬১৫"</f>
        <v>৬১৫</v>
      </c>
      <c r="H897" s="75" t="s">
        <v>330</v>
      </c>
      <c r="I897" s="75" t="s">
        <v>330</v>
      </c>
      <c r="J897" s="4"/>
    </row>
    <row r="898" spans="1:10" x14ac:dyDescent="0.25">
      <c r="A898" s="39">
        <v>897</v>
      </c>
      <c r="B898" s="3" t="s">
        <v>2473</v>
      </c>
      <c r="C898" s="75" t="s">
        <v>2474</v>
      </c>
      <c r="D898" s="75" t="s">
        <v>300</v>
      </c>
      <c r="E898" s="75" t="str">
        <f t="shared" si="9"/>
        <v>০</v>
      </c>
      <c r="F898" s="22" t="str">
        <f>"8119457815420"</f>
        <v>8119457815420</v>
      </c>
      <c r="G898" s="75" t="str">
        <f>"৬১৪"</f>
        <v>৬১৪</v>
      </c>
      <c r="H898" s="75" t="s">
        <v>333</v>
      </c>
      <c r="I898" s="75" t="s">
        <v>333</v>
      </c>
      <c r="J898" s="4"/>
    </row>
    <row r="899" spans="1:10" x14ac:dyDescent="0.25">
      <c r="A899" s="39">
        <v>898</v>
      </c>
      <c r="B899" s="3" t="s">
        <v>2475</v>
      </c>
      <c r="C899" s="75" t="s">
        <v>2463</v>
      </c>
      <c r="D899" s="75" t="s">
        <v>300</v>
      </c>
      <c r="E899" s="75" t="str">
        <f t="shared" si="9"/>
        <v>০</v>
      </c>
      <c r="F899" s="22" t="str">
        <f>"8119457815635"</f>
        <v>8119457815635</v>
      </c>
      <c r="G899" s="75" t="str">
        <f>"৬১৩"</f>
        <v>৬১৩</v>
      </c>
      <c r="H899" s="75" t="s">
        <v>319</v>
      </c>
      <c r="I899" s="75" t="s">
        <v>319</v>
      </c>
      <c r="J899" s="4"/>
    </row>
    <row r="900" spans="1:10" x14ac:dyDescent="0.25">
      <c r="A900" s="39">
        <v>899</v>
      </c>
      <c r="B900" s="3" t="s">
        <v>2476</v>
      </c>
      <c r="C900" s="75" t="s">
        <v>2477</v>
      </c>
      <c r="D900" s="75" t="s">
        <v>300</v>
      </c>
      <c r="E900" s="75" t="str">
        <f t="shared" si="9"/>
        <v>০</v>
      </c>
      <c r="F900" s="22" t="str">
        <f>"8119457815461"</f>
        <v>8119457815461</v>
      </c>
      <c r="G900" s="75" t="str">
        <f>"৬১২"</f>
        <v>৬১২</v>
      </c>
      <c r="H900" s="75" t="s">
        <v>322</v>
      </c>
      <c r="I900" s="75" t="s">
        <v>322</v>
      </c>
      <c r="J900" s="4"/>
    </row>
    <row r="901" spans="1:10" x14ac:dyDescent="0.25">
      <c r="A901" s="39">
        <v>900</v>
      </c>
      <c r="B901" s="3" t="s">
        <v>1655</v>
      </c>
      <c r="C901" s="75" t="s">
        <v>1964</v>
      </c>
      <c r="D901" s="75" t="s">
        <v>300</v>
      </c>
      <c r="E901" s="75" t="str">
        <f t="shared" si="9"/>
        <v>০</v>
      </c>
      <c r="F901" s="22" t="str">
        <f>"8119457815631"</f>
        <v>8119457815631</v>
      </c>
      <c r="G901" s="75" t="str">
        <f>"৬১১"</f>
        <v>৬১১</v>
      </c>
      <c r="H901" s="75" t="s">
        <v>319</v>
      </c>
      <c r="I901" s="75" t="s">
        <v>319</v>
      </c>
      <c r="J901" s="4"/>
    </row>
    <row r="902" spans="1:10" x14ac:dyDescent="0.25">
      <c r="A902" s="39">
        <v>901</v>
      </c>
      <c r="B902" s="3" t="s">
        <v>2478</v>
      </c>
      <c r="C902" s="75" t="s">
        <v>2479</v>
      </c>
      <c r="D902" s="75" t="s">
        <v>300</v>
      </c>
      <c r="E902" s="75" t="str">
        <f t="shared" si="9"/>
        <v>০</v>
      </c>
      <c r="F902" s="22" t="str">
        <f>"8119457815235"</f>
        <v>8119457815235</v>
      </c>
      <c r="G902" s="75" t="str">
        <f>"৬১০"</f>
        <v>৬১০</v>
      </c>
      <c r="H902" s="75" t="s">
        <v>315</v>
      </c>
      <c r="I902" s="75" t="s">
        <v>315</v>
      </c>
      <c r="J902" s="4"/>
    </row>
    <row r="903" spans="1:10" x14ac:dyDescent="0.25">
      <c r="A903" s="39">
        <v>902</v>
      </c>
      <c r="B903" s="3" t="s">
        <v>2480</v>
      </c>
      <c r="C903" s="75" t="s">
        <v>2481</v>
      </c>
      <c r="D903" s="75" t="s">
        <v>300</v>
      </c>
      <c r="E903" s="75" t="str">
        <f t="shared" si="9"/>
        <v>০</v>
      </c>
      <c r="F903" s="22" t="str">
        <f>"8119457815080"</f>
        <v>8119457815080</v>
      </c>
      <c r="G903" s="75" t="str">
        <f>"৬০৯"</f>
        <v>৬০৯</v>
      </c>
      <c r="H903" s="75" t="s">
        <v>316</v>
      </c>
      <c r="I903" s="75" t="s">
        <v>316</v>
      </c>
      <c r="J903" s="4"/>
    </row>
    <row r="904" spans="1:10" x14ac:dyDescent="0.25">
      <c r="A904" s="39">
        <v>903</v>
      </c>
      <c r="B904" s="3" t="s">
        <v>2482</v>
      </c>
      <c r="C904" s="75" t="s">
        <v>2483</v>
      </c>
      <c r="D904" s="75" t="s">
        <v>300</v>
      </c>
      <c r="E904" s="75" t="str">
        <f t="shared" si="9"/>
        <v>০</v>
      </c>
      <c r="F904" s="22" t="str">
        <f>"8119457816163"</f>
        <v>8119457816163</v>
      </c>
      <c r="G904" s="75" t="str">
        <f>"৬০৮"</f>
        <v>৬০৮</v>
      </c>
      <c r="H904" s="75" t="s">
        <v>317</v>
      </c>
      <c r="I904" s="75" t="s">
        <v>317</v>
      </c>
      <c r="J904" s="4"/>
    </row>
    <row r="905" spans="1:10" x14ac:dyDescent="0.25">
      <c r="A905" s="39">
        <v>904</v>
      </c>
      <c r="B905" s="3" t="s">
        <v>2484</v>
      </c>
      <c r="C905" s="75" t="s">
        <v>2438</v>
      </c>
      <c r="D905" s="75" t="s">
        <v>300</v>
      </c>
      <c r="E905" s="75" t="str">
        <f t="shared" si="9"/>
        <v>০</v>
      </c>
      <c r="F905" s="22" t="str">
        <f>"8119457816114"</f>
        <v>8119457816114</v>
      </c>
      <c r="G905" s="75" t="str">
        <f>"৬০৭"</f>
        <v>৬০৭</v>
      </c>
      <c r="H905" s="75" t="s">
        <v>318</v>
      </c>
      <c r="I905" s="75" t="s">
        <v>318</v>
      </c>
      <c r="J905" s="4"/>
    </row>
    <row r="906" spans="1:10" x14ac:dyDescent="0.25">
      <c r="A906" s="39">
        <v>905</v>
      </c>
      <c r="B906" s="3" t="s">
        <v>2485</v>
      </c>
      <c r="C906" s="75" t="s">
        <v>2486</v>
      </c>
      <c r="D906" s="75" t="s">
        <v>300</v>
      </c>
      <c r="E906" s="75" t="str">
        <f t="shared" si="9"/>
        <v>০</v>
      </c>
      <c r="F906" s="22" t="str">
        <f>"8119457816298"</f>
        <v>8119457816298</v>
      </c>
      <c r="G906" s="75" t="str">
        <f>"৬০৬"</f>
        <v>৬০৬</v>
      </c>
      <c r="H906" s="75" t="s">
        <v>319</v>
      </c>
      <c r="I906" s="75" t="s">
        <v>319</v>
      </c>
      <c r="J906" s="4"/>
    </row>
    <row r="907" spans="1:10" x14ac:dyDescent="0.25">
      <c r="A907" s="39">
        <v>906</v>
      </c>
      <c r="B907" s="3" t="s">
        <v>1543</v>
      </c>
      <c r="C907" s="75" t="s">
        <v>2487</v>
      </c>
      <c r="D907" s="75" t="s">
        <v>300</v>
      </c>
      <c r="E907" s="75" t="str">
        <f t="shared" si="9"/>
        <v>০</v>
      </c>
      <c r="F907" s="22" t="str">
        <f>"8119457815209"</f>
        <v>8119457815209</v>
      </c>
      <c r="G907" s="75" t="str">
        <f>"৬০৫"</f>
        <v>৬০৫</v>
      </c>
      <c r="H907" s="75" t="s">
        <v>320</v>
      </c>
      <c r="I907" s="75" t="s">
        <v>320</v>
      </c>
      <c r="J907" s="4"/>
    </row>
    <row r="908" spans="1:10" x14ac:dyDescent="0.25">
      <c r="A908" s="39">
        <v>907</v>
      </c>
      <c r="B908" s="3" t="s">
        <v>2488</v>
      </c>
      <c r="C908" s="75" t="s">
        <v>2489</v>
      </c>
      <c r="D908" s="75" t="s">
        <v>300</v>
      </c>
      <c r="E908" s="75" t="str">
        <f t="shared" si="9"/>
        <v>০</v>
      </c>
      <c r="F908" s="22" t="str">
        <f>"8119457816485"</f>
        <v>8119457816485</v>
      </c>
      <c r="G908" s="75" t="str">
        <f>"৬০৪"</f>
        <v>৬০৪</v>
      </c>
      <c r="H908" s="75" t="s">
        <v>315</v>
      </c>
      <c r="I908" s="75" t="s">
        <v>315</v>
      </c>
      <c r="J908" s="4"/>
    </row>
    <row r="909" spans="1:10" x14ac:dyDescent="0.25">
      <c r="A909" s="39">
        <v>908</v>
      </c>
      <c r="B909" s="3" t="s">
        <v>1588</v>
      </c>
      <c r="C909" s="75" t="s">
        <v>2490</v>
      </c>
      <c r="D909" s="75" t="s">
        <v>300</v>
      </c>
      <c r="E909" s="75" t="str">
        <f t="shared" si="9"/>
        <v>০</v>
      </c>
      <c r="F909" s="22" t="str">
        <f>"8119457815397"</f>
        <v>8119457815397</v>
      </c>
      <c r="G909" s="75" t="str">
        <f>"৬০৩"</f>
        <v>৬০৩</v>
      </c>
      <c r="H909" s="75" t="s">
        <v>313</v>
      </c>
      <c r="I909" s="75" t="s">
        <v>313</v>
      </c>
      <c r="J909" s="4"/>
    </row>
    <row r="910" spans="1:10" x14ac:dyDescent="0.25">
      <c r="A910" s="39">
        <v>909</v>
      </c>
      <c r="B910" s="3" t="s">
        <v>1563</v>
      </c>
      <c r="C910" s="75" t="s">
        <v>2491</v>
      </c>
      <c r="D910" s="75" t="s">
        <v>300</v>
      </c>
      <c r="E910" s="75" t="str">
        <f t="shared" si="9"/>
        <v>০</v>
      </c>
      <c r="F910" s="22" t="str">
        <f>"8119457815455"</f>
        <v>8119457815455</v>
      </c>
      <c r="G910" s="75" t="str">
        <f>"৬০২"</f>
        <v>৬০২</v>
      </c>
      <c r="H910" s="75" t="s">
        <v>314</v>
      </c>
      <c r="I910" s="75" t="s">
        <v>314</v>
      </c>
      <c r="J910" s="4"/>
    </row>
    <row r="911" spans="1:10" x14ac:dyDescent="0.25">
      <c r="A911" s="39">
        <v>910</v>
      </c>
      <c r="B911" s="3" t="s">
        <v>2492</v>
      </c>
      <c r="C911" s="75" t="s">
        <v>1635</v>
      </c>
      <c r="D911" s="75" t="s">
        <v>300</v>
      </c>
      <c r="E911" s="75" t="str">
        <f t="shared" si="9"/>
        <v>০</v>
      </c>
      <c r="F911" s="22" t="str">
        <f>"8119457816304"</f>
        <v>8119457816304</v>
      </c>
      <c r="G911" s="75" t="str">
        <f>"৬০১"</f>
        <v>৬০১</v>
      </c>
      <c r="H911" s="75" t="s">
        <v>321</v>
      </c>
      <c r="I911" s="75" t="s">
        <v>321</v>
      </c>
      <c r="J911" s="4"/>
    </row>
    <row r="912" spans="1:10" x14ac:dyDescent="0.25">
      <c r="A912" s="39">
        <v>911</v>
      </c>
      <c r="B912" s="3" t="s">
        <v>2493</v>
      </c>
      <c r="C912" s="75" t="s">
        <v>2494</v>
      </c>
      <c r="D912" s="75" t="s">
        <v>300</v>
      </c>
      <c r="E912" s="75" t="str">
        <f t="shared" si="9"/>
        <v>০</v>
      </c>
      <c r="F912" s="22" t="str">
        <f>"8119457815301"</f>
        <v>8119457815301</v>
      </c>
      <c r="G912" s="75" t="str">
        <f>"৬০০"</f>
        <v>৬০০</v>
      </c>
      <c r="H912" s="75" t="s">
        <v>322</v>
      </c>
      <c r="I912" s="75" t="s">
        <v>322</v>
      </c>
      <c r="J912" s="4"/>
    </row>
    <row r="913" spans="1:10" x14ac:dyDescent="0.25">
      <c r="A913" s="39">
        <v>912</v>
      </c>
      <c r="B913" s="3" t="s">
        <v>2495</v>
      </c>
      <c r="C913" s="75" t="s">
        <v>1953</v>
      </c>
      <c r="D913" s="75" t="s">
        <v>300</v>
      </c>
      <c r="E913" s="75" t="str">
        <f t="shared" si="9"/>
        <v>০</v>
      </c>
      <c r="F913" s="22" t="str">
        <f>"8119457816286"</f>
        <v>8119457816286</v>
      </c>
      <c r="G913" s="75" t="str">
        <f>"৫৯৯"</f>
        <v>৫৯৯</v>
      </c>
      <c r="H913" s="75" t="s">
        <v>314</v>
      </c>
      <c r="I913" s="75" t="s">
        <v>314</v>
      </c>
      <c r="J913" s="4"/>
    </row>
    <row r="914" spans="1:10" x14ac:dyDescent="0.25">
      <c r="A914" s="39">
        <v>913</v>
      </c>
      <c r="B914" s="3" t="s">
        <v>2496</v>
      </c>
      <c r="C914" s="75" t="s">
        <v>2497</v>
      </c>
      <c r="D914" s="75" t="s">
        <v>300</v>
      </c>
      <c r="E914" s="75" t="str">
        <f t="shared" si="9"/>
        <v>০</v>
      </c>
      <c r="F914" s="22" t="str">
        <f>"8119457810005"</f>
        <v>8119457810005</v>
      </c>
      <c r="G914" s="75" t="str">
        <f>"৫৯৮"</f>
        <v>৫৯৮</v>
      </c>
      <c r="H914" s="75" t="s">
        <v>323</v>
      </c>
      <c r="I914" s="75" t="s">
        <v>323</v>
      </c>
      <c r="J914" s="4"/>
    </row>
    <row r="915" spans="1:10" x14ac:dyDescent="0.25">
      <c r="A915" s="39">
        <v>914</v>
      </c>
      <c r="B915" s="3" t="s">
        <v>2498</v>
      </c>
      <c r="C915" s="75" t="s">
        <v>2271</v>
      </c>
      <c r="D915" s="75" t="s">
        <v>300</v>
      </c>
      <c r="E915" s="75" t="str">
        <f t="shared" si="9"/>
        <v>০</v>
      </c>
      <c r="F915" s="22" t="str">
        <f>"8119457815451"</f>
        <v>8119457815451</v>
      </c>
      <c r="G915" s="75" t="str">
        <f>"৫৯৭"</f>
        <v>৫৯৭</v>
      </c>
      <c r="H915" s="75" t="s">
        <v>324</v>
      </c>
      <c r="I915" s="75" t="s">
        <v>324</v>
      </c>
      <c r="J915" s="4"/>
    </row>
    <row r="916" spans="1:10" x14ac:dyDescent="0.25">
      <c r="A916" s="39">
        <v>915</v>
      </c>
      <c r="B916" s="3" t="s">
        <v>2499</v>
      </c>
      <c r="C916" s="75" t="s">
        <v>2500</v>
      </c>
      <c r="D916" s="75" t="s">
        <v>300</v>
      </c>
      <c r="E916" s="75" t="str">
        <f t="shared" si="9"/>
        <v>০</v>
      </c>
      <c r="F916" s="22" t="str">
        <f>"8119457815194"</f>
        <v>8119457815194</v>
      </c>
      <c r="G916" s="75" t="str">
        <f>"৫৯৬"</f>
        <v>৫৯৬</v>
      </c>
      <c r="H916" s="75" t="s">
        <v>325</v>
      </c>
      <c r="I916" s="75" t="s">
        <v>325</v>
      </c>
      <c r="J916" s="4"/>
    </row>
    <row r="917" spans="1:10" x14ac:dyDescent="0.25">
      <c r="A917" s="39">
        <v>916</v>
      </c>
      <c r="B917" s="3" t="s">
        <v>2501</v>
      </c>
      <c r="C917" s="75" t="s">
        <v>2502</v>
      </c>
      <c r="D917" s="75" t="s">
        <v>300</v>
      </c>
      <c r="E917" s="75" t="str">
        <f t="shared" si="9"/>
        <v>০</v>
      </c>
      <c r="F917" s="22" t="str">
        <f>"8119457815197"</f>
        <v>8119457815197</v>
      </c>
      <c r="G917" s="75" t="str">
        <f>"৫৯৫"</f>
        <v>৫৯৫</v>
      </c>
      <c r="H917" s="75" t="s">
        <v>319</v>
      </c>
      <c r="I917" s="75" t="s">
        <v>319</v>
      </c>
      <c r="J917" s="4"/>
    </row>
    <row r="918" spans="1:10" x14ac:dyDescent="0.25">
      <c r="A918" s="39">
        <v>917</v>
      </c>
      <c r="B918" s="3" t="s">
        <v>2305</v>
      </c>
      <c r="C918" s="75" t="s">
        <v>1938</v>
      </c>
      <c r="D918" s="75" t="s">
        <v>300</v>
      </c>
      <c r="E918" s="75" t="str">
        <f t="shared" si="9"/>
        <v>০</v>
      </c>
      <c r="F918" s="22" t="str">
        <f>"8119457815304"</f>
        <v>8119457815304</v>
      </c>
      <c r="G918" s="75" t="str">
        <f>"৫৯৪"</f>
        <v>৫৯৪</v>
      </c>
      <c r="H918" s="75" t="s">
        <v>326</v>
      </c>
      <c r="I918" s="75" t="s">
        <v>326</v>
      </c>
      <c r="J918" s="4"/>
    </row>
    <row r="919" spans="1:10" x14ac:dyDescent="0.25">
      <c r="A919" s="39">
        <v>918</v>
      </c>
      <c r="B919" s="3" t="s">
        <v>1756</v>
      </c>
      <c r="C919" s="75" t="s">
        <v>2438</v>
      </c>
      <c r="D919" s="75" t="s">
        <v>300</v>
      </c>
      <c r="E919" s="75" t="str">
        <f t="shared" si="9"/>
        <v>০</v>
      </c>
      <c r="F919" s="22" t="str">
        <f>"8119457815463"</f>
        <v>8119457815463</v>
      </c>
      <c r="G919" s="75" t="str">
        <f>"৫৯৩"</f>
        <v>৫৯৩</v>
      </c>
      <c r="H919" s="75" t="s">
        <v>327</v>
      </c>
      <c r="I919" s="75" t="s">
        <v>327</v>
      </c>
      <c r="J919" s="4"/>
    </row>
    <row r="920" spans="1:10" x14ac:dyDescent="0.25">
      <c r="A920" s="39">
        <v>919</v>
      </c>
      <c r="B920" s="3" t="s">
        <v>1758</v>
      </c>
      <c r="C920" s="75" t="s">
        <v>2472</v>
      </c>
      <c r="D920" s="75" t="s">
        <v>300</v>
      </c>
      <c r="E920" s="75" t="str">
        <f t="shared" si="9"/>
        <v>০</v>
      </c>
      <c r="F920" s="22" t="str">
        <f>"8119457815252"</f>
        <v>8119457815252</v>
      </c>
      <c r="G920" s="75" t="str">
        <f>"৫৯২"</f>
        <v>৫৯২</v>
      </c>
      <c r="H920" s="75" t="s">
        <v>328</v>
      </c>
      <c r="I920" s="75" t="s">
        <v>328</v>
      </c>
      <c r="J920" s="4"/>
    </row>
    <row r="921" spans="1:10" x14ac:dyDescent="0.25">
      <c r="A921" s="39">
        <v>920</v>
      </c>
      <c r="B921" s="3" t="s">
        <v>2503</v>
      </c>
      <c r="C921" s="75" t="s">
        <v>2504</v>
      </c>
      <c r="D921" s="75" t="s">
        <v>300</v>
      </c>
      <c r="E921" s="75" t="str">
        <f t="shared" si="9"/>
        <v>০</v>
      </c>
      <c r="F921" s="22" t="str">
        <f>"8119457816401"</f>
        <v>8119457816401</v>
      </c>
      <c r="G921" s="75" t="str">
        <f>"৫৯১"</f>
        <v>৫৯১</v>
      </c>
      <c r="H921" s="75" t="s">
        <v>329</v>
      </c>
      <c r="I921" s="75" t="s">
        <v>329</v>
      </c>
      <c r="J921" s="4"/>
    </row>
    <row r="922" spans="1:10" x14ac:dyDescent="0.25">
      <c r="A922" s="39">
        <v>921</v>
      </c>
      <c r="B922" s="3" t="s">
        <v>2505</v>
      </c>
      <c r="C922" s="75" t="s">
        <v>2506</v>
      </c>
      <c r="D922" s="75" t="s">
        <v>300</v>
      </c>
      <c r="E922" s="75" t="str">
        <f t="shared" si="9"/>
        <v>০</v>
      </c>
      <c r="F922" s="22" t="str">
        <f>"8119457815275"</f>
        <v>8119457815275</v>
      </c>
      <c r="G922" s="75" t="str">
        <f>"৫৯০"</f>
        <v>৫৯০</v>
      </c>
      <c r="H922" s="75" t="s">
        <v>330</v>
      </c>
      <c r="I922" s="75" t="s">
        <v>330</v>
      </c>
      <c r="J922" s="4"/>
    </row>
    <row r="923" spans="1:10" x14ac:dyDescent="0.25">
      <c r="A923" s="39">
        <v>922</v>
      </c>
      <c r="B923" s="3" t="s">
        <v>2507</v>
      </c>
      <c r="C923" s="75" t="s">
        <v>2486</v>
      </c>
      <c r="D923" s="75" t="s">
        <v>300</v>
      </c>
      <c r="E923" s="75" t="str">
        <f t="shared" si="9"/>
        <v>০</v>
      </c>
      <c r="F923" s="22" t="str">
        <f>"8119457815420"</f>
        <v>8119457815420</v>
      </c>
      <c r="G923" s="75" t="str">
        <f>"৫৮৯"</f>
        <v>৫৮৯</v>
      </c>
      <c r="H923" s="75" t="s">
        <v>319</v>
      </c>
      <c r="I923" s="75" t="s">
        <v>319</v>
      </c>
      <c r="J923" s="4"/>
    </row>
    <row r="924" spans="1:10" x14ac:dyDescent="0.25">
      <c r="A924" s="39">
        <v>923</v>
      </c>
      <c r="B924" s="3" t="s">
        <v>1781</v>
      </c>
      <c r="C924" s="75" t="s">
        <v>2508</v>
      </c>
      <c r="D924" s="75" t="s">
        <v>300</v>
      </c>
      <c r="E924" s="75" t="str">
        <f t="shared" si="9"/>
        <v>০</v>
      </c>
      <c r="F924" s="22" t="str">
        <f>"8119457815635"</f>
        <v>8119457815635</v>
      </c>
      <c r="G924" s="75" t="str">
        <f>"৫৮৮"</f>
        <v>৫৮৮</v>
      </c>
      <c r="H924" s="75" t="s">
        <v>317</v>
      </c>
      <c r="I924" s="75" t="s">
        <v>317</v>
      </c>
      <c r="J924" s="4"/>
    </row>
    <row r="925" spans="1:10" x14ac:dyDescent="0.25">
      <c r="A925" s="39">
        <v>924</v>
      </c>
      <c r="B925" s="3" t="s">
        <v>2509</v>
      </c>
      <c r="C925" s="75" t="s">
        <v>2481</v>
      </c>
      <c r="D925" s="75" t="s">
        <v>300</v>
      </c>
      <c r="E925" s="75" t="str">
        <f t="shared" si="9"/>
        <v>০</v>
      </c>
      <c r="F925" s="22" t="str">
        <f>"8119457815461"</f>
        <v>8119457815461</v>
      </c>
      <c r="G925" s="75" t="str">
        <f>"৫৮৭"</f>
        <v>৫৮৭</v>
      </c>
      <c r="H925" s="75" t="s">
        <v>323</v>
      </c>
      <c r="I925" s="75" t="s">
        <v>323</v>
      </c>
      <c r="J925" s="4"/>
    </row>
    <row r="926" spans="1:10" x14ac:dyDescent="0.25">
      <c r="A926" s="39">
        <v>925</v>
      </c>
      <c r="B926" s="3" t="s">
        <v>1697</v>
      </c>
      <c r="C926" s="75" t="s">
        <v>1677</v>
      </c>
      <c r="D926" s="75" t="s">
        <v>301</v>
      </c>
      <c r="E926" s="75" t="str">
        <f t="shared" si="9"/>
        <v>০</v>
      </c>
      <c r="F926" s="22" t="str">
        <f>"8119457815631"</f>
        <v>8119457815631</v>
      </c>
      <c r="G926" s="75" t="str">
        <f>"৫৮৬"</f>
        <v>৫৮৬</v>
      </c>
      <c r="H926" s="75" t="s">
        <v>326</v>
      </c>
      <c r="I926" s="75" t="s">
        <v>326</v>
      </c>
      <c r="J926" s="4"/>
    </row>
    <row r="927" spans="1:10" x14ac:dyDescent="0.25">
      <c r="A927" s="39">
        <v>926</v>
      </c>
      <c r="B927" s="3" t="s">
        <v>1547</v>
      </c>
      <c r="C927" s="75" t="s">
        <v>2235</v>
      </c>
      <c r="D927" s="75" t="s">
        <v>301</v>
      </c>
      <c r="E927" s="75" t="str">
        <f t="shared" si="9"/>
        <v>০</v>
      </c>
      <c r="F927" s="22" t="str">
        <f>"8119457815235"</f>
        <v>8119457815235</v>
      </c>
      <c r="G927" s="75" t="str">
        <f>"৫৮৫"</f>
        <v>৫৮৫</v>
      </c>
      <c r="H927" s="75" t="s">
        <v>331</v>
      </c>
      <c r="I927" s="75" t="s">
        <v>331</v>
      </c>
      <c r="J927" s="4"/>
    </row>
    <row r="928" spans="1:10" x14ac:dyDescent="0.25">
      <c r="A928" s="39">
        <v>927</v>
      </c>
      <c r="B928" s="3" t="s">
        <v>2510</v>
      </c>
      <c r="C928" s="75" t="s">
        <v>2511</v>
      </c>
      <c r="D928" s="75" t="s">
        <v>301</v>
      </c>
      <c r="E928" s="75" t="str">
        <f t="shared" si="9"/>
        <v>০</v>
      </c>
      <c r="F928" s="22" t="str">
        <f>"8119457815080"</f>
        <v>8119457815080</v>
      </c>
      <c r="G928" s="75" t="str">
        <f>"৫৮৪"</f>
        <v>৫৮৪</v>
      </c>
      <c r="H928" s="75" t="s">
        <v>329</v>
      </c>
      <c r="I928" s="75" t="s">
        <v>329</v>
      </c>
      <c r="J928" s="4"/>
    </row>
    <row r="929" spans="1:10" x14ac:dyDescent="0.25">
      <c r="A929" s="39">
        <v>928</v>
      </c>
      <c r="B929" s="3" t="s">
        <v>2512</v>
      </c>
      <c r="C929" s="75" t="s">
        <v>2513</v>
      </c>
      <c r="D929" s="75" t="s">
        <v>301</v>
      </c>
      <c r="E929" s="75" t="str">
        <f t="shared" si="9"/>
        <v>০</v>
      </c>
      <c r="F929" s="22" t="str">
        <f>"8119457816163"</f>
        <v>8119457816163</v>
      </c>
      <c r="G929" s="75" t="str">
        <f>"৫৮৩"</f>
        <v>৫৮৩</v>
      </c>
      <c r="H929" s="75" t="s">
        <v>332</v>
      </c>
      <c r="I929" s="75" t="s">
        <v>332</v>
      </c>
      <c r="J929" s="4"/>
    </row>
    <row r="930" spans="1:10" x14ac:dyDescent="0.25">
      <c r="A930" s="39">
        <v>929</v>
      </c>
      <c r="B930" s="3" t="s">
        <v>2514</v>
      </c>
      <c r="C930" s="75" t="s">
        <v>2515</v>
      </c>
      <c r="D930" s="75" t="s">
        <v>301</v>
      </c>
      <c r="E930" s="75" t="str">
        <f t="shared" si="9"/>
        <v>০</v>
      </c>
      <c r="F930" s="22" t="str">
        <f>"8119457816114"</f>
        <v>8119457816114</v>
      </c>
      <c r="G930" s="75" t="str">
        <f>"৫৮২"</f>
        <v>৫৮২</v>
      </c>
      <c r="H930" s="75" t="s">
        <v>316</v>
      </c>
      <c r="I930" s="75" t="s">
        <v>316</v>
      </c>
      <c r="J930" s="4"/>
    </row>
    <row r="931" spans="1:10" x14ac:dyDescent="0.25">
      <c r="A931" s="39">
        <v>930</v>
      </c>
      <c r="B931" s="3" t="s">
        <v>2516</v>
      </c>
      <c r="C931" s="75" t="s">
        <v>2517</v>
      </c>
      <c r="D931" s="75" t="s">
        <v>301</v>
      </c>
      <c r="E931" s="75" t="str">
        <f t="shared" si="9"/>
        <v>০</v>
      </c>
      <c r="F931" s="22" t="str">
        <f>"8119457816298"</f>
        <v>8119457816298</v>
      </c>
      <c r="G931" s="75" t="str">
        <f>"৫৮১"</f>
        <v>৫৮১</v>
      </c>
      <c r="H931" s="75" t="s">
        <v>330</v>
      </c>
      <c r="I931" s="75" t="s">
        <v>330</v>
      </c>
      <c r="J931" s="4"/>
    </row>
    <row r="932" spans="1:10" x14ac:dyDescent="0.25">
      <c r="A932" s="39">
        <v>931</v>
      </c>
      <c r="B932" s="3" t="s">
        <v>2518</v>
      </c>
      <c r="C932" s="75" t="s">
        <v>2517</v>
      </c>
      <c r="D932" s="75" t="s">
        <v>301</v>
      </c>
      <c r="E932" s="75" t="str">
        <f t="shared" si="9"/>
        <v>০</v>
      </c>
      <c r="F932" s="22" t="str">
        <f>"8119457815209"</f>
        <v>8119457815209</v>
      </c>
      <c r="G932" s="75" t="str">
        <f>"৫৮০"</f>
        <v>৫৮০</v>
      </c>
      <c r="H932" s="75" t="s">
        <v>333</v>
      </c>
      <c r="I932" s="75" t="s">
        <v>333</v>
      </c>
      <c r="J932" s="4"/>
    </row>
    <row r="933" spans="1:10" x14ac:dyDescent="0.25">
      <c r="A933" s="39">
        <v>932</v>
      </c>
      <c r="B933" s="3" t="s">
        <v>2519</v>
      </c>
      <c r="C933" s="75" t="s">
        <v>2520</v>
      </c>
      <c r="D933" s="75" t="s">
        <v>301</v>
      </c>
      <c r="E933" s="75" t="str">
        <f t="shared" si="9"/>
        <v>০</v>
      </c>
      <c r="F933" s="22" t="str">
        <f>"8119457816485"</f>
        <v>8119457816485</v>
      </c>
      <c r="G933" s="75" t="str">
        <f>"৫৭৯"</f>
        <v>৫৭৯</v>
      </c>
      <c r="H933" s="75" t="s">
        <v>319</v>
      </c>
      <c r="I933" s="75" t="s">
        <v>319</v>
      </c>
      <c r="J933" s="4"/>
    </row>
    <row r="934" spans="1:10" x14ac:dyDescent="0.25">
      <c r="A934" s="39">
        <v>933</v>
      </c>
      <c r="B934" s="3" t="s">
        <v>2521</v>
      </c>
      <c r="C934" s="75" t="s">
        <v>2522</v>
      </c>
      <c r="D934" s="75" t="s">
        <v>301</v>
      </c>
      <c r="E934" s="75" t="str">
        <f t="shared" si="9"/>
        <v>০</v>
      </c>
      <c r="F934" s="22" t="str">
        <f>"8119457815397"</f>
        <v>8119457815397</v>
      </c>
      <c r="G934" s="75" t="str">
        <f>"৫৭৮"</f>
        <v>৫৭৮</v>
      </c>
      <c r="H934" s="75" t="s">
        <v>322</v>
      </c>
      <c r="I934" s="75" t="s">
        <v>322</v>
      </c>
      <c r="J934" s="4"/>
    </row>
    <row r="935" spans="1:10" x14ac:dyDescent="0.25">
      <c r="A935" s="39">
        <v>934</v>
      </c>
      <c r="B935" s="3" t="s">
        <v>1745</v>
      </c>
      <c r="C935" s="75" t="s">
        <v>2235</v>
      </c>
      <c r="D935" s="75" t="s">
        <v>301</v>
      </c>
      <c r="E935" s="75" t="str">
        <f t="shared" si="9"/>
        <v>০</v>
      </c>
      <c r="F935" s="22" t="str">
        <f>"8119457815378"</f>
        <v>8119457815378</v>
      </c>
      <c r="G935" s="75" t="str">
        <f>"৫৭৭"</f>
        <v>৫৭৭</v>
      </c>
      <c r="H935" s="75" t="s">
        <v>319</v>
      </c>
      <c r="I935" s="75" t="s">
        <v>319</v>
      </c>
      <c r="J935" s="4"/>
    </row>
    <row r="936" spans="1:10" x14ac:dyDescent="0.25">
      <c r="A936" s="39">
        <v>935</v>
      </c>
      <c r="B936" s="3" t="s">
        <v>2523</v>
      </c>
      <c r="C936" s="75" t="s">
        <v>2524</v>
      </c>
      <c r="D936" s="75" t="s">
        <v>301</v>
      </c>
      <c r="E936" s="75" t="str">
        <f t="shared" si="9"/>
        <v>০</v>
      </c>
      <c r="F936" s="22" t="str">
        <f>"8119457818967"</f>
        <v>8119457818967</v>
      </c>
      <c r="G936" s="75" t="str">
        <f>"৫৭৬"</f>
        <v>৫৭৬</v>
      </c>
      <c r="H936" s="75" t="s">
        <v>315</v>
      </c>
      <c r="I936" s="75" t="s">
        <v>315</v>
      </c>
      <c r="J936" s="4"/>
    </row>
    <row r="937" spans="1:10" x14ac:dyDescent="0.25">
      <c r="A937" s="39">
        <v>936</v>
      </c>
      <c r="B937" s="3" t="s">
        <v>2432</v>
      </c>
      <c r="C937" s="75" t="s">
        <v>2525</v>
      </c>
      <c r="D937" s="75" t="s">
        <v>301</v>
      </c>
      <c r="E937" s="75" t="str">
        <f t="shared" si="9"/>
        <v>০</v>
      </c>
      <c r="F937" s="22" t="str">
        <f>"8119457815089"</f>
        <v>8119457815089</v>
      </c>
      <c r="G937" s="75" t="str">
        <f>"৫৭৫"</f>
        <v>৫৭৫</v>
      </c>
      <c r="H937" s="75" t="s">
        <v>316</v>
      </c>
      <c r="I937" s="75" t="s">
        <v>316</v>
      </c>
      <c r="J937" s="4"/>
    </row>
    <row r="938" spans="1:10" x14ac:dyDescent="0.25">
      <c r="A938" s="39">
        <v>937</v>
      </c>
      <c r="B938" s="3" t="s">
        <v>2526</v>
      </c>
      <c r="C938" s="75" t="s">
        <v>2432</v>
      </c>
      <c r="D938" s="75" t="s">
        <v>301</v>
      </c>
      <c r="E938" s="75" t="str">
        <f t="shared" si="9"/>
        <v>০</v>
      </c>
      <c r="F938" s="22" t="str">
        <f>"8119457815281"</f>
        <v>8119457815281</v>
      </c>
      <c r="G938" s="75" t="str">
        <f>"৫৭৪"</f>
        <v>৫৭৪</v>
      </c>
      <c r="H938" s="75" t="s">
        <v>317</v>
      </c>
      <c r="I938" s="75" t="s">
        <v>317</v>
      </c>
      <c r="J938" s="4"/>
    </row>
    <row r="939" spans="1:10" x14ac:dyDescent="0.25">
      <c r="A939" s="39">
        <v>938</v>
      </c>
      <c r="B939" s="3" t="s">
        <v>2527</v>
      </c>
      <c r="C939" s="75" t="s">
        <v>2526</v>
      </c>
      <c r="D939" s="75" t="s">
        <v>301</v>
      </c>
      <c r="E939" s="75" t="str">
        <f t="shared" si="9"/>
        <v>০</v>
      </c>
      <c r="F939" s="22" t="str">
        <f>"8119457815651"</f>
        <v>8119457815651</v>
      </c>
      <c r="G939" s="75" t="str">
        <f>"৫৭৩"</f>
        <v>৫৭৩</v>
      </c>
      <c r="H939" s="75" t="s">
        <v>318</v>
      </c>
      <c r="I939" s="75" t="s">
        <v>318</v>
      </c>
      <c r="J939" s="4"/>
    </row>
    <row r="940" spans="1:10" x14ac:dyDescent="0.25">
      <c r="A940" s="39">
        <v>939</v>
      </c>
      <c r="B940" s="3" t="s">
        <v>2528</v>
      </c>
      <c r="C940" s="75" t="s">
        <v>2432</v>
      </c>
      <c r="D940" s="75" t="s">
        <v>301</v>
      </c>
      <c r="E940" s="75" t="str">
        <f t="shared" si="9"/>
        <v>০</v>
      </c>
      <c r="F940" s="22" t="str">
        <f>"8119457815103"</f>
        <v>8119457815103</v>
      </c>
      <c r="G940" s="75" t="str">
        <f>"৫৭২"</f>
        <v>৫৭২</v>
      </c>
      <c r="H940" s="75" t="s">
        <v>319</v>
      </c>
      <c r="I940" s="75" t="s">
        <v>319</v>
      </c>
      <c r="J940" s="4"/>
    </row>
    <row r="941" spans="1:10" x14ac:dyDescent="0.25">
      <c r="A941" s="39">
        <v>940</v>
      </c>
      <c r="B941" s="3" t="s">
        <v>2529</v>
      </c>
      <c r="C941" s="75" t="s">
        <v>2530</v>
      </c>
      <c r="D941" s="75" t="s">
        <v>301</v>
      </c>
      <c r="E941" s="75" t="str">
        <f t="shared" ref="E941:E998" si="10">"০"</f>
        <v>০</v>
      </c>
      <c r="F941" s="22" t="str">
        <f>"8119457816012"</f>
        <v>8119457816012</v>
      </c>
      <c r="G941" s="75" t="str">
        <f>"৫৭১"</f>
        <v>৫৭১</v>
      </c>
      <c r="H941" s="75" t="s">
        <v>320</v>
      </c>
      <c r="I941" s="75" t="s">
        <v>320</v>
      </c>
      <c r="J941" s="4"/>
    </row>
    <row r="942" spans="1:10" x14ac:dyDescent="0.25">
      <c r="A942" s="39">
        <v>941</v>
      </c>
      <c r="B942" s="3" t="s">
        <v>2531</v>
      </c>
      <c r="C942" s="75" t="s">
        <v>2532</v>
      </c>
      <c r="D942" s="75" t="s">
        <v>301</v>
      </c>
      <c r="E942" s="75" t="str">
        <f t="shared" si="10"/>
        <v>০</v>
      </c>
      <c r="F942" s="22" t="str">
        <f>"8119457815309"</f>
        <v>8119457815309</v>
      </c>
      <c r="G942" s="75" t="str">
        <f>"৫৭০"</f>
        <v>৫৭০</v>
      </c>
      <c r="H942" s="75" t="s">
        <v>315</v>
      </c>
      <c r="I942" s="75" t="s">
        <v>315</v>
      </c>
      <c r="J942" s="4"/>
    </row>
    <row r="943" spans="1:10" x14ac:dyDescent="0.25">
      <c r="A943" s="39">
        <v>942</v>
      </c>
      <c r="B943" s="3" t="s">
        <v>2533</v>
      </c>
      <c r="C943" s="75" t="s">
        <v>2534</v>
      </c>
      <c r="D943" s="75" t="s">
        <v>301</v>
      </c>
      <c r="E943" s="75" t="str">
        <f t="shared" si="10"/>
        <v>০</v>
      </c>
      <c r="F943" s="22" t="str">
        <f>"8119457816353"</f>
        <v>8119457816353</v>
      </c>
      <c r="G943" s="75" t="str">
        <f>"৫৬৯"</f>
        <v>৫৬৯</v>
      </c>
      <c r="H943" s="75" t="s">
        <v>313</v>
      </c>
      <c r="I943" s="75" t="s">
        <v>313</v>
      </c>
      <c r="J943" s="4"/>
    </row>
    <row r="944" spans="1:10" x14ac:dyDescent="0.25">
      <c r="A944" s="39">
        <v>943</v>
      </c>
      <c r="B944" s="3" t="s">
        <v>2535</v>
      </c>
      <c r="C944" s="75" t="s">
        <v>2536</v>
      </c>
      <c r="D944" s="75" t="s">
        <v>301</v>
      </c>
      <c r="E944" s="75" t="str">
        <f t="shared" si="10"/>
        <v>০</v>
      </c>
      <c r="F944" s="22" t="str">
        <f>"8119457816433"</f>
        <v>8119457816433</v>
      </c>
      <c r="G944" s="75" t="str">
        <f>"৫৬৮"</f>
        <v>৫৬৮</v>
      </c>
      <c r="H944" s="75" t="s">
        <v>314</v>
      </c>
      <c r="I944" s="75" t="s">
        <v>314</v>
      </c>
      <c r="J944" s="4"/>
    </row>
    <row r="945" spans="1:10" x14ac:dyDescent="0.25">
      <c r="A945" s="39">
        <v>944</v>
      </c>
      <c r="B945" s="3" t="s">
        <v>2537</v>
      </c>
      <c r="C945" s="75" t="s">
        <v>2538</v>
      </c>
      <c r="D945" s="75" t="s">
        <v>301</v>
      </c>
      <c r="E945" s="75" t="str">
        <f t="shared" si="10"/>
        <v>০</v>
      </c>
      <c r="F945" s="22" t="str">
        <f>"8119457816235"</f>
        <v>8119457816235</v>
      </c>
      <c r="G945" s="75" t="str">
        <f>"৫৬৭"</f>
        <v>৫৬৭</v>
      </c>
      <c r="H945" s="75" t="s">
        <v>321</v>
      </c>
      <c r="I945" s="75" t="s">
        <v>321</v>
      </c>
      <c r="J945" s="4"/>
    </row>
    <row r="946" spans="1:10" x14ac:dyDescent="0.25">
      <c r="A946" s="39">
        <v>945</v>
      </c>
      <c r="B946" s="3" t="s">
        <v>2539</v>
      </c>
      <c r="C946" s="75" t="s">
        <v>2540</v>
      </c>
      <c r="D946" s="75" t="s">
        <v>301</v>
      </c>
      <c r="E946" s="75" t="str">
        <f t="shared" si="10"/>
        <v>০</v>
      </c>
      <c r="F946" s="22" t="str">
        <f>"8119457815271"</f>
        <v>8119457815271</v>
      </c>
      <c r="G946" s="75" t="str">
        <f>"৫৬৬"</f>
        <v>৫৬৬</v>
      </c>
      <c r="H946" s="75" t="s">
        <v>322</v>
      </c>
      <c r="I946" s="75" t="s">
        <v>322</v>
      </c>
      <c r="J946" s="4"/>
    </row>
    <row r="947" spans="1:10" x14ac:dyDescent="0.25">
      <c r="A947" s="39">
        <v>946</v>
      </c>
      <c r="B947" s="3" t="s">
        <v>2541</v>
      </c>
      <c r="C947" s="75" t="s">
        <v>2542</v>
      </c>
      <c r="D947" s="75" t="s">
        <v>301</v>
      </c>
      <c r="E947" s="75" t="str">
        <f t="shared" si="10"/>
        <v>০</v>
      </c>
      <c r="F947" s="22" t="str">
        <f>"8119457816685"</f>
        <v>8119457816685</v>
      </c>
      <c r="G947" s="75" t="str">
        <f>"৫৬৫"</f>
        <v>৫৬৫</v>
      </c>
      <c r="H947" s="75" t="s">
        <v>314</v>
      </c>
      <c r="I947" s="75" t="s">
        <v>314</v>
      </c>
      <c r="J947" s="4"/>
    </row>
    <row r="948" spans="1:10" x14ac:dyDescent="0.25">
      <c r="A948" s="39">
        <v>947</v>
      </c>
      <c r="B948" s="3" t="s">
        <v>2543</v>
      </c>
      <c r="C948" s="75" t="s">
        <v>2544</v>
      </c>
      <c r="D948" s="75" t="s">
        <v>301</v>
      </c>
      <c r="E948" s="75" t="str">
        <f t="shared" si="10"/>
        <v>০</v>
      </c>
      <c r="F948" s="22" t="str">
        <f>"8119457815199"</f>
        <v>8119457815199</v>
      </c>
      <c r="G948" s="75" t="str">
        <f>"৫৬৪"</f>
        <v>৫৬৪</v>
      </c>
      <c r="H948" s="75" t="s">
        <v>323</v>
      </c>
      <c r="I948" s="75" t="s">
        <v>323</v>
      </c>
      <c r="J948" s="4"/>
    </row>
    <row r="949" spans="1:10" x14ac:dyDescent="0.25">
      <c r="A949" s="39">
        <v>948</v>
      </c>
      <c r="B949" s="3" t="s">
        <v>2545</v>
      </c>
      <c r="C949" s="75" t="s">
        <v>2546</v>
      </c>
      <c r="D949" s="75" t="s">
        <v>301</v>
      </c>
      <c r="E949" s="75" t="str">
        <f t="shared" si="10"/>
        <v>০</v>
      </c>
      <c r="F949" s="22" t="str">
        <f>"8119457816263"</f>
        <v>8119457816263</v>
      </c>
      <c r="G949" s="75" t="str">
        <f>"৫৬৩"</f>
        <v>৫৬৩</v>
      </c>
      <c r="H949" s="75" t="s">
        <v>324</v>
      </c>
      <c r="I949" s="75" t="s">
        <v>324</v>
      </c>
      <c r="J949" s="4"/>
    </row>
    <row r="950" spans="1:10" x14ac:dyDescent="0.25">
      <c r="A950" s="39">
        <v>949</v>
      </c>
      <c r="B950" s="3" t="s">
        <v>2547</v>
      </c>
      <c r="C950" s="75" t="s">
        <v>2548</v>
      </c>
      <c r="D950" s="75" t="s">
        <v>301</v>
      </c>
      <c r="E950" s="75" t="str">
        <f t="shared" si="10"/>
        <v>০</v>
      </c>
      <c r="F950" s="22" t="str">
        <f>"8119457816245"</f>
        <v>8119457816245</v>
      </c>
      <c r="G950" s="75" t="str">
        <f>"৫৬২"</f>
        <v>৫৬২</v>
      </c>
      <c r="H950" s="75" t="s">
        <v>325</v>
      </c>
      <c r="I950" s="75" t="s">
        <v>325</v>
      </c>
      <c r="J950" s="4"/>
    </row>
    <row r="951" spans="1:10" x14ac:dyDescent="0.25">
      <c r="A951" s="39">
        <v>950</v>
      </c>
      <c r="B951" s="3" t="s">
        <v>2549</v>
      </c>
      <c r="C951" s="75" t="s">
        <v>2550</v>
      </c>
      <c r="D951" s="75" t="s">
        <v>301</v>
      </c>
      <c r="E951" s="75" t="str">
        <f t="shared" si="10"/>
        <v>০</v>
      </c>
      <c r="F951" s="22" t="str">
        <f>"8119457815395"</f>
        <v>8119457815395</v>
      </c>
      <c r="G951" s="75" t="str">
        <f>"৫৬১"</f>
        <v>৫৬১</v>
      </c>
      <c r="H951" s="75" t="s">
        <v>319</v>
      </c>
      <c r="I951" s="75" t="s">
        <v>319</v>
      </c>
      <c r="J951" s="4"/>
    </row>
    <row r="952" spans="1:10" x14ac:dyDescent="0.25">
      <c r="A952" s="39">
        <v>951</v>
      </c>
      <c r="B952" s="3" t="s">
        <v>2416</v>
      </c>
      <c r="C952" s="75" t="s">
        <v>1603</v>
      </c>
      <c r="D952" s="75" t="s">
        <v>301</v>
      </c>
      <c r="E952" s="75" t="str">
        <f t="shared" si="10"/>
        <v>০</v>
      </c>
      <c r="F952" s="22" t="str">
        <f>"8119457816310"</f>
        <v>8119457816310</v>
      </c>
      <c r="G952" s="75" t="str">
        <f>"৫৬০"</f>
        <v>৫৬০</v>
      </c>
      <c r="H952" s="75" t="s">
        <v>326</v>
      </c>
      <c r="I952" s="75" t="s">
        <v>326</v>
      </c>
      <c r="J952" s="4"/>
    </row>
    <row r="953" spans="1:10" x14ac:dyDescent="0.25">
      <c r="A953" s="39">
        <v>952</v>
      </c>
      <c r="B953" s="3" t="s">
        <v>2551</v>
      </c>
      <c r="C953" s="75" t="s">
        <v>1973</v>
      </c>
      <c r="D953" s="75" t="s">
        <v>301</v>
      </c>
      <c r="E953" s="75" t="str">
        <f t="shared" si="10"/>
        <v>০</v>
      </c>
      <c r="F953" s="22" t="str">
        <f>"8119457816315"</f>
        <v>8119457816315</v>
      </c>
      <c r="G953" s="75" t="str">
        <f>"৫৫৯"</f>
        <v>৫৫৯</v>
      </c>
      <c r="H953" s="75" t="s">
        <v>327</v>
      </c>
      <c r="I953" s="75" t="s">
        <v>327</v>
      </c>
      <c r="J953" s="4"/>
    </row>
    <row r="954" spans="1:10" x14ac:dyDescent="0.25">
      <c r="A954" s="39">
        <v>953</v>
      </c>
      <c r="B954" s="3" t="s">
        <v>2552</v>
      </c>
      <c r="C954" s="75" t="s">
        <v>2553</v>
      </c>
      <c r="D954" s="75" t="s">
        <v>301</v>
      </c>
      <c r="E954" s="75" t="str">
        <f t="shared" si="10"/>
        <v>০</v>
      </c>
      <c r="F954" s="22" t="str">
        <f>"8119457816590"</f>
        <v>8119457816590</v>
      </c>
      <c r="G954" s="75" t="str">
        <f>"৫৫৮"</f>
        <v>৫৫৮</v>
      </c>
      <c r="H954" s="75" t="s">
        <v>328</v>
      </c>
      <c r="I954" s="75" t="s">
        <v>328</v>
      </c>
      <c r="J954" s="4"/>
    </row>
    <row r="955" spans="1:10" x14ac:dyDescent="0.25">
      <c r="A955" s="39">
        <v>954</v>
      </c>
      <c r="B955" s="3" t="s">
        <v>2554</v>
      </c>
      <c r="C955" s="75" t="s">
        <v>2555</v>
      </c>
      <c r="D955" s="75" t="s">
        <v>301</v>
      </c>
      <c r="E955" s="75" t="str">
        <f t="shared" si="10"/>
        <v>০</v>
      </c>
      <c r="F955" s="22" t="str">
        <f>"8119457816285"</f>
        <v>8119457816285</v>
      </c>
      <c r="G955" s="75" t="str">
        <f>"৫৫৭"</f>
        <v>৫৫৭</v>
      </c>
      <c r="H955" s="75" t="s">
        <v>329</v>
      </c>
      <c r="I955" s="75" t="s">
        <v>329</v>
      </c>
      <c r="J955" s="4"/>
    </row>
    <row r="956" spans="1:10" x14ac:dyDescent="0.25">
      <c r="A956" s="39">
        <v>955</v>
      </c>
      <c r="B956" s="3" t="s">
        <v>2556</v>
      </c>
      <c r="C956" s="75" t="s">
        <v>1934</v>
      </c>
      <c r="D956" s="75" t="s">
        <v>301</v>
      </c>
      <c r="E956" s="75" t="str">
        <f t="shared" si="10"/>
        <v>০</v>
      </c>
      <c r="F956" s="22" t="str">
        <f>"8119457815679"</f>
        <v>8119457815679</v>
      </c>
      <c r="G956" s="75" t="str">
        <f>"৫৫৬"</f>
        <v>৫৫৬</v>
      </c>
      <c r="H956" s="75" t="s">
        <v>330</v>
      </c>
      <c r="I956" s="75" t="s">
        <v>330</v>
      </c>
      <c r="J956" s="4"/>
    </row>
    <row r="957" spans="1:10" x14ac:dyDescent="0.25">
      <c r="A957" s="39">
        <v>956</v>
      </c>
      <c r="B957" s="3" t="s">
        <v>2557</v>
      </c>
      <c r="C957" s="75" t="s">
        <v>2558</v>
      </c>
      <c r="D957" s="75" t="s">
        <v>301</v>
      </c>
      <c r="E957" s="75" t="str">
        <f t="shared" si="10"/>
        <v>০</v>
      </c>
      <c r="F957" s="22" t="str">
        <f>"8119457815796"</f>
        <v>8119457815796</v>
      </c>
      <c r="G957" s="75" t="str">
        <f>"৫৫৫"</f>
        <v>৫৫৫</v>
      </c>
      <c r="H957" s="75" t="s">
        <v>319</v>
      </c>
      <c r="I957" s="75" t="s">
        <v>319</v>
      </c>
      <c r="J957" s="4"/>
    </row>
    <row r="958" spans="1:10" x14ac:dyDescent="0.25">
      <c r="A958" s="39">
        <v>957</v>
      </c>
      <c r="B958" s="3" t="s">
        <v>2559</v>
      </c>
      <c r="C958" s="75" t="s">
        <v>2560</v>
      </c>
      <c r="D958" s="75" t="s">
        <v>301</v>
      </c>
      <c r="E958" s="75" t="str">
        <f t="shared" si="10"/>
        <v>০</v>
      </c>
      <c r="F958" s="22" t="str">
        <f>"8119457816383"</f>
        <v>8119457816383</v>
      </c>
      <c r="G958" s="75" t="str">
        <f>"৫৫৪"</f>
        <v>৫৫৪</v>
      </c>
      <c r="H958" s="75" t="s">
        <v>317</v>
      </c>
      <c r="I958" s="75" t="s">
        <v>317</v>
      </c>
      <c r="J958" s="4"/>
    </row>
    <row r="959" spans="1:10" x14ac:dyDescent="0.25">
      <c r="A959" s="39">
        <v>958</v>
      </c>
      <c r="B959" s="3" t="s">
        <v>2561</v>
      </c>
      <c r="C959" s="75" t="s">
        <v>1995</v>
      </c>
      <c r="D959" s="75" t="s">
        <v>301</v>
      </c>
      <c r="E959" s="75" t="str">
        <f t="shared" si="10"/>
        <v>০</v>
      </c>
      <c r="F959" s="22" t="str">
        <f>"8119457816440"</f>
        <v>8119457816440</v>
      </c>
      <c r="G959" s="75" t="str">
        <f>"৫৫৩"</f>
        <v>৫৫৩</v>
      </c>
      <c r="H959" s="75" t="s">
        <v>323</v>
      </c>
      <c r="I959" s="75" t="s">
        <v>323</v>
      </c>
      <c r="J959" s="4"/>
    </row>
    <row r="960" spans="1:10" x14ac:dyDescent="0.25">
      <c r="A960" s="39">
        <v>959</v>
      </c>
      <c r="B960" s="3" t="s">
        <v>1690</v>
      </c>
      <c r="C960" s="75" t="s">
        <v>2562</v>
      </c>
      <c r="D960" s="75" t="s">
        <v>301</v>
      </c>
      <c r="E960" s="75" t="str">
        <f t="shared" si="10"/>
        <v>০</v>
      </c>
      <c r="F960" s="22" t="str">
        <f>"8119457815499"</f>
        <v>8119457815499</v>
      </c>
      <c r="G960" s="75" t="str">
        <f>"৫৫২"</f>
        <v>৫৫২</v>
      </c>
      <c r="H960" s="75" t="s">
        <v>326</v>
      </c>
      <c r="I960" s="75" t="s">
        <v>326</v>
      </c>
      <c r="J960" s="4"/>
    </row>
    <row r="961" spans="1:10" x14ac:dyDescent="0.25">
      <c r="A961" s="39">
        <v>960</v>
      </c>
      <c r="B961" s="3" t="s">
        <v>2563</v>
      </c>
      <c r="C961" s="75" t="s">
        <v>2564</v>
      </c>
      <c r="D961" s="75" t="s">
        <v>304</v>
      </c>
      <c r="E961" s="75" t="str">
        <f t="shared" si="10"/>
        <v>০</v>
      </c>
      <c r="F961" s="22" t="str">
        <f>"8119457816240"</f>
        <v>8119457816240</v>
      </c>
      <c r="G961" s="75" t="str">
        <f>"৫৫১"</f>
        <v>৫৫১</v>
      </c>
      <c r="H961" s="75" t="s">
        <v>331</v>
      </c>
      <c r="I961" s="75" t="s">
        <v>331</v>
      </c>
      <c r="J961" s="4"/>
    </row>
    <row r="962" spans="1:10" x14ac:dyDescent="0.25">
      <c r="A962" s="39">
        <v>961</v>
      </c>
      <c r="B962" s="3" t="s">
        <v>2565</v>
      </c>
      <c r="C962" s="75" t="s">
        <v>2566</v>
      </c>
      <c r="D962" s="75" t="s">
        <v>301</v>
      </c>
      <c r="E962" s="75" t="str">
        <f t="shared" si="10"/>
        <v>০</v>
      </c>
      <c r="F962" s="22" t="str">
        <f>"8119457816504"</f>
        <v>8119457816504</v>
      </c>
      <c r="G962" s="75" t="str">
        <f>"৫৫০"</f>
        <v>৫৫০</v>
      </c>
      <c r="H962" s="75" t="s">
        <v>329</v>
      </c>
      <c r="I962" s="75" t="s">
        <v>329</v>
      </c>
      <c r="J962" s="4"/>
    </row>
    <row r="963" spans="1:10" x14ac:dyDescent="0.25">
      <c r="A963" s="39">
        <v>962</v>
      </c>
      <c r="B963" s="3" t="s">
        <v>2567</v>
      </c>
      <c r="C963" s="75" t="s">
        <v>2568</v>
      </c>
      <c r="D963" s="75" t="s">
        <v>301</v>
      </c>
      <c r="E963" s="75" t="str">
        <f t="shared" si="10"/>
        <v>০</v>
      </c>
      <c r="F963" s="22" t="str">
        <f>"8119457816486"</f>
        <v>8119457816486</v>
      </c>
      <c r="G963" s="75" t="str">
        <f>"৫৪৯"</f>
        <v>৫৪৯</v>
      </c>
      <c r="H963" s="75" t="s">
        <v>332</v>
      </c>
      <c r="I963" s="75" t="s">
        <v>332</v>
      </c>
      <c r="J963" s="4"/>
    </row>
    <row r="964" spans="1:10" x14ac:dyDescent="0.25">
      <c r="A964" s="39">
        <v>963</v>
      </c>
      <c r="B964" s="3" t="s">
        <v>2569</v>
      </c>
      <c r="C964" s="75" t="s">
        <v>2570</v>
      </c>
      <c r="D964" s="75" t="s">
        <v>308</v>
      </c>
      <c r="E964" s="75" t="str">
        <f t="shared" si="10"/>
        <v>০</v>
      </c>
      <c r="F964" s="22" t="str">
        <f>"8119457815854"</f>
        <v>8119457815854</v>
      </c>
      <c r="G964" s="75" t="str">
        <f>"৫৪৮"</f>
        <v>৫৪৮</v>
      </c>
      <c r="H964" s="75" t="s">
        <v>316</v>
      </c>
      <c r="I964" s="75" t="s">
        <v>316</v>
      </c>
      <c r="J964" s="4"/>
    </row>
    <row r="965" spans="1:10" x14ac:dyDescent="0.25">
      <c r="A965" s="39">
        <v>964</v>
      </c>
      <c r="B965" s="3" t="s">
        <v>2571</v>
      </c>
      <c r="C965" s="75" t="s">
        <v>2048</v>
      </c>
      <c r="D965" s="75" t="s">
        <v>301</v>
      </c>
      <c r="E965" s="75" t="str">
        <f t="shared" si="10"/>
        <v>০</v>
      </c>
      <c r="F965" s="22" t="str">
        <f>"8119457816291"</f>
        <v>8119457816291</v>
      </c>
      <c r="G965" s="75" t="str">
        <f>"৫৪৭"</f>
        <v>৫৪৭</v>
      </c>
      <c r="H965" s="75" t="s">
        <v>330</v>
      </c>
      <c r="I965" s="75" t="s">
        <v>330</v>
      </c>
      <c r="J965" s="4"/>
    </row>
    <row r="966" spans="1:10" x14ac:dyDescent="0.25">
      <c r="A966" s="39">
        <v>965</v>
      </c>
      <c r="B966" s="3" t="s">
        <v>2572</v>
      </c>
      <c r="C966" s="75" t="s">
        <v>2573</v>
      </c>
      <c r="D966" s="75" t="s">
        <v>301</v>
      </c>
      <c r="E966" s="75" t="str">
        <f t="shared" si="10"/>
        <v>০</v>
      </c>
      <c r="F966" s="22" t="str">
        <f>"8119457816127"</f>
        <v>8119457816127</v>
      </c>
      <c r="G966" s="75" t="str">
        <f>"৫৪৬"</f>
        <v>৫৪৬</v>
      </c>
      <c r="H966" s="75" t="s">
        <v>333</v>
      </c>
      <c r="I966" s="75" t="s">
        <v>333</v>
      </c>
      <c r="J966" s="4"/>
    </row>
    <row r="967" spans="1:10" x14ac:dyDescent="0.25">
      <c r="A967" s="39">
        <v>966</v>
      </c>
      <c r="B967" s="3" t="s">
        <v>2574</v>
      </c>
      <c r="C967" s="75" t="s">
        <v>2575</v>
      </c>
      <c r="D967" s="75" t="s">
        <v>301</v>
      </c>
      <c r="E967" s="75" t="str">
        <f t="shared" si="10"/>
        <v>০</v>
      </c>
      <c r="F967" s="22" t="str">
        <f>"8119457815994"</f>
        <v>8119457815994</v>
      </c>
      <c r="G967" s="75" t="str">
        <f>"৫৪৫"</f>
        <v>৫৪৫</v>
      </c>
      <c r="H967" s="75" t="s">
        <v>319</v>
      </c>
      <c r="I967" s="75" t="s">
        <v>319</v>
      </c>
      <c r="J967" s="4"/>
    </row>
    <row r="968" spans="1:10" x14ac:dyDescent="0.25">
      <c r="A968" s="39">
        <v>967</v>
      </c>
      <c r="B968" s="3" t="s">
        <v>2576</v>
      </c>
      <c r="C968" s="75" t="s">
        <v>2574</v>
      </c>
      <c r="D968" s="75" t="s">
        <v>301</v>
      </c>
      <c r="E968" s="75" t="str">
        <f t="shared" si="10"/>
        <v>০</v>
      </c>
      <c r="F968" s="22" t="str">
        <f>"8119457815095"</f>
        <v>8119457815095</v>
      </c>
      <c r="G968" s="75" t="str">
        <f>"৫৪৪"</f>
        <v>৫৪৪</v>
      </c>
      <c r="H968" s="75" t="s">
        <v>322</v>
      </c>
      <c r="I968" s="75" t="s">
        <v>322</v>
      </c>
      <c r="J968" s="4"/>
    </row>
    <row r="969" spans="1:10" x14ac:dyDescent="0.25">
      <c r="A969" s="39">
        <v>968</v>
      </c>
      <c r="B969" s="3" t="s">
        <v>2577</v>
      </c>
      <c r="C969" s="75" t="s">
        <v>2578</v>
      </c>
      <c r="D969" s="75" t="s">
        <v>301</v>
      </c>
      <c r="E969" s="75" t="str">
        <f t="shared" si="10"/>
        <v>০</v>
      </c>
      <c r="F969" s="22" t="str">
        <f>"8119457816198"</f>
        <v>8119457816198</v>
      </c>
      <c r="G969" s="75" t="str">
        <f>"৫৪৩"</f>
        <v>৫৪৩</v>
      </c>
      <c r="H969" s="75" t="s">
        <v>319</v>
      </c>
      <c r="I969" s="75" t="s">
        <v>319</v>
      </c>
      <c r="J969" s="4"/>
    </row>
    <row r="970" spans="1:10" x14ac:dyDescent="0.25">
      <c r="A970" s="39">
        <v>969</v>
      </c>
      <c r="B970" s="3" t="s">
        <v>1605</v>
      </c>
      <c r="C970" s="75" t="s">
        <v>2579</v>
      </c>
      <c r="D970" s="75" t="s">
        <v>301</v>
      </c>
      <c r="E970" s="75" t="str">
        <f t="shared" si="10"/>
        <v>০</v>
      </c>
      <c r="F970" s="22" t="str">
        <f>"8119457816797"</f>
        <v>8119457816797</v>
      </c>
      <c r="G970" s="75" t="str">
        <f>"৫৪২"</f>
        <v>৫৪২</v>
      </c>
      <c r="H970" s="75" t="s">
        <v>313</v>
      </c>
      <c r="I970" s="75" t="s">
        <v>313</v>
      </c>
      <c r="J970" s="4"/>
    </row>
    <row r="971" spans="1:10" x14ac:dyDescent="0.25">
      <c r="A971" s="39">
        <v>970</v>
      </c>
      <c r="B971" s="3" t="s">
        <v>2580</v>
      </c>
      <c r="C971" s="75" t="s">
        <v>2581</v>
      </c>
      <c r="D971" s="75" t="s">
        <v>301</v>
      </c>
      <c r="E971" s="75" t="str">
        <f t="shared" si="10"/>
        <v>০</v>
      </c>
      <c r="F971" s="22" t="str">
        <f>"8119457815265"</f>
        <v>8119457815265</v>
      </c>
      <c r="G971" s="75" t="str">
        <f>"৫৪১"</f>
        <v>৫৪১</v>
      </c>
      <c r="H971" s="75" t="s">
        <v>314</v>
      </c>
      <c r="I971" s="75" t="s">
        <v>314</v>
      </c>
      <c r="J971" s="4"/>
    </row>
    <row r="972" spans="1:10" x14ac:dyDescent="0.25">
      <c r="A972" s="39">
        <v>971</v>
      </c>
      <c r="B972" s="3" t="s">
        <v>2582</v>
      </c>
      <c r="C972" s="75" t="s">
        <v>2583</v>
      </c>
      <c r="D972" s="75" t="s">
        <v>301</v>
      </c>
      <c r="E972" s="75" t="str">
        <f t="shared" si="10"/>
        <v>০</v>
      </c>
      <c r="F972" s="22" t="str">
        <f>"8119457815389"</f>
        <v>8119457815389</v>
      </c>
      <c r="G972" s="75" t="str">
        <f>"৫৪০"</f>
        <v>৫৪০</v>
      </c>
      <c r="H972" s="75" t="s">
        <v>315</v>
      </c>
      <c r="I972" s="75" t="s">
        <v>315</v>
      </c>
      <c r="J972" s="4"/>
    </row>
    <row r="973" spans="1:10" x14ac:dyDescent="0.25">
      <c r="A973" s="39">
        <v>972</v>
      </c>
      <c r="B973" s="3" t="s">
        <v>2584</v>
      </c>
      <c r="C973" s="75" t="s">
        <v>2025</v>
      </c>
      <c r="D973" s="75" t="s">
        <v>301</v>
      </c>
      <c r="E973" s="75" t="str">
        <f t="shared" si="10"/>
        <v>০</v>
      </c>
      <c r="F973" s="22" t="str">
        <f>"8119457815349"</f>
        <v>8119457815349</v>
      </c>
      <c r="G973" s="75" t="str">
        <f>"৫৩৯"</f>
        <v>৫৩৯</v>
      </c>
      <c r="H973" s="75" t="s">
        <v>316</v>
      </c>
      <c r="I973" s="75" t="s">
        <v>316</v>
      </c>
      <c r="J973" s="4"/>
    </row>
    <row r="974" spans="1:10" x14ac:dyDescent="0.25">
      <c r="A974" s="39">
        <v>973</v>
      </c>
      <c r="B974" s="3" t="s">
        <v>1859</v>
      </c>
      <c r="C974" s="75" t="s">
        <v>2548</v>
      </c>
      <c r="D974" s="75" t="s">
        <v>301</v>
      </c>
      <c r="E974" s="75" t="str">
        <f t="shared" si="10"/>
        <v>০</v>
      </c>
      <c r="F974" s="22" t="str">
        <f>"8119457815057"</f>
        <v>8119457815057</v>
      </c>
      <c r="G974" s="75" t="str">
        <f>"৫৩৮"</f>
        <v>৫৩৮</v>
      </c>
      <c r="H974" s="75" t="s">
        <v>317</v>
      </c>
      <c r="I974" s="75" t="s">
        <v>317</v>
      </c>
      <c r="J974" s="4"/>
    </row>
    <row r="975" spans="1:10" x14ac:dyDescent="0.25">
      <c r="A975" s="39">
        <v>974</v>
      </c>
      <c r="B975" s="3" t="s">
        <v>2585</v>
      </c>
      <c r="C975" s="75" t="s">
        <v>2586</v>
      </c>
      <c r="D975" s="75" t="s">
        <v>301</v>
      </c>
      <c r="E975" s="75" t="str">
        <f t="shared" si="10"/>
        <v>০</v>
      </c>
      <c r="F975" s="22" t="str">
        <f>"8119457816383"</f>
        <v>8119457816383</v>
      </c>
      <c r="G975" s="75" t="str">
        <f>"৫৩৭"</f>
        <v>৫৩৭</v>
      </c>
      <c r="H975" s="75" t="s">
        <v>318</v>
      </c>
      <c r="I975" s="75" t="s">
        <v>318</v>
      </c>
      <c r="J975" s="4"/>
    </row>
    <row r="976" spans="1:10" x14ac:dyDescent="0.25">
      <c r="A976" s="39">
        <v>975</v>
      </c>
      <c r="B976" s="3" t="s">
        <v>2587</v>
      </c>
      <c r="C976" s="75" t="s">
        <v>2588</v>
      </c>
      <c r="D976" s="75" t="s">
        <v>301</v>
      </c>
      <c r="E976" s="75" t="str">
        <f t="shared" si="10"/>
        <v>০</v>
      </c>
      <c r="F976" s="22" t="str">
        <f>"8119457816004"</f>
        <v>8119457816004</v>
      </c>
      <c r="G976" s="75" t="str">
        <f>"৫৩৬"</f>
        <v>৫৩৬</v>
      </c>
      <c r="H976" s="75" t="s">
        <v>319</v>
      </c>
      <c r="I976" s="75" t="s">
        <v>319</v>
      </c>
      <c r="J976" s="4"/>
    </row>
    <row r="977" spans="1:10" x14ac:dyDescent="0.25">
      <c r="A977" s="39">
        <v>976</v>
      </c>
      <c r="B977" s="3" t="s">
        <v>2589</v>
      </c>
      <c r="C977" s="75" t="s">
        <v>2590</v>
      </c>
      <c r="D977" s="75" t="s">
        <v>301</v>
      </c>
      <c r="E977" s="75" t="str">
        <f t="shared" si="10"/>
        <v>০</v>
      </c>
      <c r="F977" s="22" t="str">
        <f>"8119457815408"</f>
        <v>8119457815408</v>
      </c>
      <c r="G977" s="75" t="str">
        <f>"৫৩৫"</f>
        <v>৫৩৫</v>
      </c>
      <c r="H977" s="75" t="s">
        <v>320</v>
      </c>
      <c r="I977" s="75" t="s">
        <v>320</v>
      </c>
      <c r="J977" s="4"/>
    </row>
    <row r="978" spans="1:10" x14ac:dyDescent="0.25">
      <c r="A978" s="39">
        <v>977</v>
      </c>
      <c r="B978" s="3" t="s">
        <v>2591</v>
      </c>
      <c r="C978" s="75" t="s">
        <v>2592</v>
      </c>
      <c r="D978" s="75" t="s">
        <v>301</v>
      </c>
      <c r="E978" s="75" t="str">
        <f t="shared" si="10"/>
        <v>০</v>
      </c>
      <c r="F978" s="23" t="str">
        <f>"8119457815743"</f>
        <v>8119457815743</v>
      </c>
      <c r="G978" s="75" t="str">
        <f>"৫৩৪"</f>
        <v>৫৩৪</v>
      </c>
      <c r="H978" s="75" t="s">
        <v>315</v>
      </c>
      <c r="I978" s="75" t="s">
        <v>315</v>
      </c>
      <c r="J978" s="4"/>
    </row>
    <row r="979" spans="1:10" x14ac:dyDescent="0.25">
      <c r="A979" s="39">
        <v>978</v>
      </c>
      <c r="B979" s="3" t="s">
        <v>2593</v>
      </c>
      <c r="C979" s="75" t="s">
        <v>2580</v>
      </c>
      <c r="D979" s="75" t="s">
        <v>301</v>
      </c>
      <c r="E979" s="75" t="str">
        <f t="shared" si="10"/>
        <v>০</v>
      </c>
      <c r="F979" s="22" t="str">
        <f>"8119457815287"</f>
        <v>8119457815287</v>
      </c>
      <c r="G979" s="75" t="str">
        <f>"৫৩৩"</f>
        <v>৫৩৩</v>
      </c>
      <c r="H979" s="75" t="s">
        <v>313</v>
      </c>
      <c r="I979" s="75" t="s">
        <v>313</v>
      </c>
      <c r="J979" s="4"/>
    </row>
    <row r="980" spans="1:10" x14ac:dyDescent="0.25">
      <c r="A980" s="39">
        <v>979</v>
      </c>
      <c r="B980" s="3" t="s">
        <v>2594</v>
      </c>
      <c r="C980" s="75" t="s">
        <v>2591</v>
      </c>
      <c r="D980" s="75" t="s">
        <v>301</v>
      </c>
      <c r="E980" s="75" t="str">
        <f t="shared" si="10"/>
        <v>০</v>
      </c>
      <c r="F980" s="22" t="str">
        <f>"8119457816334"</f>
        <v>8119457816334</v>
      </c>
      <c r="G980" s="75" t="str">
        <f>"৫৩২"</f>
        <v>৫৩২</v>
      </c>
      <c r="H980" s="75" t="s">
        <v>314</v>
      </c>
      <c r="I980" s="75" t="s">
        <v>314</v>
      </c>
      <c r="J980" s="4"/>
    </row>
    <row r="981" spans="1:10" x14ac:dyDescent="0.25">
      <c r="A981" s="39">
        <v>980</v>
      </c>
      <c r="B981" s="3" t="s">
        <v>2595</v>
      </c>
      <c r="C981" s="75" t="s">
        <v>2575</v>
      </c>
      <c r="D981" s="75" t="s">
        <v>301</v>
      </c>
      <c r="E981" s="75" t="str">
        <f t="shared" si="10"/>
        <v>০</v>
      </c>
      <c r="F981" s="22" t="str">
        <f>"8119457816548"</f>
        <v>8119457816548</v>
      </c>
      <c r="G981" s="75" t="str">
        <f>"৫৩১"</f>
        <v>৫৩১</v>
      </c>
      <c r="H981" s="75" t="s">
        <v>321</v>
      </c>
      <c r="I981" s="75" t="s">
        <v>321</v>
      </c>
      <c r="J981" s="4"/>
    </row>
    <row r="982" spans="1:10" x14ac:dyDescent="0.25">
      <c r="A982" s="39">
        <v>981</v>
      </c>
      <c r="B982" s="3" t="s">
        <v>1982</v>
      </c>
      <c r="C982" s="75" t="s">
        <v>2596</v>
      </c>
      <c r="D982" s="75" t="s">
        <v>301</v>
      </c>
      <c r="E982" s="75" t="str">
        <f t="shared" si="10"/>
        <v>০</v>
      </c>
      <c r="F982" s="22" t="str">
        <f>"8119457815249"</f>
        <v>8119457815249</v>
      </c>
      <c r="G982" s="75" t="str">
        <f>"৫৩০"</f>
        <v>৫৩০</v>
      </c>
      <c r="H982" s="75" t="s">
        <v>322</v>
      </c>
      <c r="I982" s="75" t="s">
        <v>322</v>
      </c>
      <c r="J982" s="4"/>
    </row>
    <row r="983" spans="1:10" x14ac:dyDescent="0.25">
      <c r="A983" s="39">
        <v>982</v>
      </c>
      <c r="B983" s="3" t="s">
        <v>2597</v>
      </c>
      <c r="C983" s="75" t="s">
        <v>2598</v>
      </c>
      <c r="D983" s="75" t="s">
        <v>301</v>
      </c>
      <c r="E983" s="75" t="str">
        <f t="shared" si="10"/>
        <v>০</v>
      </c>
      <c r="F983" s="22" t="str">
        <f>"8119457815416"</f>
        <v>8119457815416</v>
      </c>
      <c r="G983" s="75" t="str">
        <f>"৫২৯"</f>
        <v>৫২৯</v>
      </c>
      <c r="H983" s="75" t="s">
        <v>314</v>
      </c>
      <c r="I983" s="75" t="s">
        <v>314</v>
      </c>
      <c r="J983" s="4"/>
    </row>
    <row r="984" spans="1:10" x14ac:dyDescent="0.25">
      <c r="A984" s="39">
        <v>983</v>
      </c>
      <c r="B984" s="3" t="s">
        <v>1578</v>
      </c>
      <c r="C984" s="75" t="s">
        <v>2077</v>
      </c>
      <c r="D984" s="75" t="s">
        <v>301</v>
      </c>
      <c r="E984" s="75" t="str">
        <f t="shared" si="10"/>
        <v>০</v>
      </c>
      <c r="F984" s="22" t="str">
        <f>"8119457816811"</f>
        <v>8119457816811</v>
      </c>
      <c r="G984" s="75" t="str">
        <f>"৫২৮"</f>
        <v>৫২৮</v>
      </c>
      <c r="H984" s="75" t="s">
        <v>323</v>
      </c>
      <c r="I984" s="75" t="s">
        <v>323</v>
      </c>
      <c r="J984" s="4"/>
    </row>
    <row r="985" spans="1:10" x14ac:dyDescent="0.25">
      <c r="A985" s="39">
        <v>984</v>
      </c>
      <c r="B985" s="3" t="s">
        <v>2599</v>
      </c>
      <c r="C985" s="75" t="s">
        <v>2600</v>
      </c>
      <c r="D985" s="75" t="s">
        <v>301</v>
      </c>
      <c r="E985" s="75" t="str">
        <f t="shared" si="10"/>
        <v>০</v>
      </c>
      <c r="F985" s="22" t="str">
        <f>"8119457815342"</f>
        <v>8119457815342</v>
      </c>
      <c r="G985" s="75" t="str">
        <f>"৫২৭"</f>
        <v>৫২৭</v>
      </c>
      <c r="H985" s="75" t="s">
        <v>324</v>
      </c>
      <c r="I985" s="75" t="s">
        <v>324</v>
      </c>
      <c r="J985" s="4"/>
    </row>
    <row r="986" spans="1:10" x14ac:dyDescent="0.25">
      <c r="A986" s="39">
        <v>985</v>
      </c>
      <c r="B986" s="3" t="s">
        <v>2601</v>
      </c>
      <c r="C986" s="75" t="s">
        <v>2425</v>
      </c>
      <c r="D986" s="75" t="s">
        <v>301</v>
      </c>
      <c r="E986" s="75" t="str">
        <f t="shared" si="10"/>
        <v>০</v>
      </c>
      <c r="F986" s="22" t="str">
        <f>"8119457816382"</f>
        <v>8119457816382</v>
      </c>
      <c r="G986" s="75" t="str">
        <f>"৫২৬"</f>
        <v>৫২৬</v>
      </c>
      <c r="H986" s="75" t="s">
        <v>325</v>
      </c>
      <c r="I986" s="75" t="s">
        <v>325</v>
      </c>
      <c r="J986" s="4"/>
    </row>
    <row r="987" spans="1:10" x14ac:dyDescent="0.25">
      <c r="A987" s="39">
        <v>986</v>
      </c>
      <c r="B987" s="3" t="s">
        <v>2602</v>
      </c>
      <c r="C987" s="75" t="s">
        <v>2603</v>
      </c>
      <c r="D987" s="75" t="s">
        <v>301</v>
      </c>
      <c r="E987" s="75" t="str">
        <f t="shared" si="10"/>
        <v>০</v>
      </c>
      <c r="F987" s="22" t="str">
        <f>"8119457815091"</f>
        <v>8119457815091</v>
      </c>
      <c r="G987" s="75" t="str">
        <f>"৫২৫"</f>
        <v>৫২৫</v>
      </c>
      <c r="H987" s="75" t="s">
        <v>319</v>
      </c>
      <c r="I987" s="75" t="s">
        <v>319</v>
      </c>
      <c r="J987" s="4"/>
    </row>
    <row r="988" spans="1:10" x14ac:dyDescent="0.25">
      <c r="A988" s="39">
        <v>987</v>
      </c>
      <c r="B988" s="3" t="s">
        <v>2604</v>
      </c>
      <c r="C988" s="75" t="s">
        <v>2603</v>
      </c>
      <c r="D988" s="75" t="s">
        <v>301</v>
      </c>
      <c r="E988" s="75" t="str">
        <f t="shared" si="10"/>
        <v>০</v>
      </c>
      <c r="F988" s="22" t="str">
        <f>"8119457816351"</f>
        <v>8119457816351</v>
      </c>
      <c r="G988" s="75" t="str">
        <f>"৫২৪"</f>
        <v>৫২৪</v>
      </c>
      <c r="H988" s="75" t="s">
        <v>326</v>
      </c>
      <c r="I988" s="75" t="s">
        <v>326</v>
      </c>
      <c r="J988" s="4"/>
    </row>
    <row r="989" spans="1:10" x14ac:dyDescent="0.25">
      <c r="A989" s="39">
        <v>988</v>
      </c>
      <c r="B989" s="3" t="s">
        <v>2605</v>
      </c>
      <c r="C989" s="75" t="s">
        <v>2606</v>
      </c>
      <c r="D989" s="75" t="s">
        <v>301</v>
      </c>
      <c r="E989" s="75" t="str">
        <f t="shared" si="10"/>
        <v>০</v>
      </c>
      <c r="F989" s="22" t="str">
        <f>"8119457816038"</f>
        <v>8119457816038</v>
      </c>
      <c r="G989" s="75" t="str">
        <f>"৫২৩"</f>
        <v>৫২৩</v>
      </c>
      <c r="H989" s="75" t="s">
        <v>327</v>
      </c>
      <c r="I989" s="75" t="s">
        <v>327</v>
      </c>
      <c r="J989" s="4"/>
    </row>
    <row r="990" spans="1:10" x14ac:dyDescent="0.25">
      <c r="A990" s="39">
        <v>989</v>
      </c>
      <c r="B990" s="3" t="s">
        <v>2607</v>
      </c>
      <c r="C990" s="75" t="s">
        <v>2608</v>
      </c>
      <c r="D990" s="75" t="s">
        <v>301</v>
      </c>
      <c r="E990" s="75" t="str">
        <f t="shared" si="10"/>
        <v>০</v>
      </c>
      <c r="F990" s="22" t="str">
        <f>"8119457815184"</f>
        <v>8119457815184</v>
      </c>
      <c r="G990" s="75" t="str">
        <f>"৫২২"</f>
        <v>৫২২</v>
      </c>
      <c r="H990" s="75" t="s">
        <v>328</v>
      </c>
      <c r="I990" s="75" t="s">
        <v>328</v>
      </c>
      <c r="J990" s="4"/>
    </row>
    <row r="991" spans="1:10" x14ac:dyDescent="0.25">
      <c r="A991" s="39">
        <v>990</v>
      </c>
      <c r="B991" s="3" t="s">
        <v>2609</v>
      </c>
      <c r="C991" s="75" t="s">
        <v>2610</v>
      </c>
      <c r="D991" s="75" t="s">
        <v>301</v>
      </c>
      <c r="E991" s="75" t="str">
        <f t="shared" si="10"/>
        <v>০</v>
      </c>
      <c r="F991" s="22" t="str">
        <f>"8119457815327"</f>
        <v>8119457815327</v>
      </c>
      <c r="G991" s="75" t="str">
        <f>"৫২১"</f>
        <v>৫২১</v>
      </c>
      <c r="H991" s="75" t="s">
        <v>329</v>
      </c>
      <c r="I991" s="75" t="s">
        <v>329</v>
      </c>
      <c r="J991" s="4"/>
    </row>
    <row r="992" spans="1:10" x14ac:dyDescent="0.25">
      <c r="A992" s="39">
        <v>991</v>
      </c>
      <c r="B992" s="3" t="s">
        <v>2611</v>
      </c>
      <c r="C992" s="75" t="s">
        <v>2609</v>
      </c>
      <c r="D992" s="75" t="s">
        <v>301</v>
      </c>
      <c r="E992" s="75" t="str">
        <f t="shared" si="10"/>
        <v>০</v>
      </c>
      <c r="F992" s="22" t="str">
        <f>"8119457815428"</f>
        <v>8119457815428</v>
      </c>
      <c r="G992" s="75" t="str">
        <f>"৫২০"</f>
        <v>৫২০</v>
      </c>
      <c r="H992" s="75" t="s">
        <v>330</v>
      </c>
      <c r="I992" s="75" t="s">
        <v>330</v>
      </c>
      <c r="J992" s="4"/>
    </row>
    <row r="993" spans="1:10" x14ac:dyDescent="0.25">
      <c r="A993" s="39">
        <v>992</v>
      </c>
      <c r="B993" s="3" t="s">
        <v>2612</v>
      </c>
      <c r="C993" s="75" t="s">
        <v>2613</v>
      </c>
      <c r="D993" s="75" t="s">
        <v>301</v>
      </c>
      <c r="E993" s="75" t="str">
        <f t="shared" si="10"/>
        <v>০</v>
      </c>
      <c r="F993" s="22" t="str">
        <f>"8119457815520"</f>
        <v>8119457815520</v>
      </c>
      <c r="G993" s="75" t="str">
        <f>"৫১৯"</f>
        <v>৫১৯</v>
      </c>
      <c r="H993" s="75" t="s">
        <v>319</v>
      </c>
      <c r="I993" s="75" t="s">
        <v>319</v>
      </c>
      <c r="J993" s="4"/>
    </row>
    <row r="994" spans="1:10" x14ac:dyDescent="0.25">
      <c r="A994" s="39">
        <v>993</v>
      </c>
      <c r="B994" s="3" t="s">
        <v>2465</v>
      </c>
      <c r="C994" s="75" t="s">
        <v>2614</v>
      </c>
      <c r="D994" s="75" t="s">
        <v>301</v>
      </c>
      <c r="E994" s="75" t="str">
        <f t="shared" si="10"/>
        <v>০</v>
      </c>
      <c r="F994" s="22" t="str">
        <f>"8119457815828"</f>
        <v>8119457815828</v>
      </c>
      <c r="G994" s="75" t="str">
        <f>"৫১৮"</f>
        <v>৫১৮</v>
      </c>
      <c r="H994" s="75" t="s">
        <v>317</v>
      </c>
      <c r="I994" s="75" t="s">
        <v>317</v>
      </c>
      <c r="J994" s="4"/>
    </row>
    <row r="995" spans="1:10" x14ac:dyDescent="0.25">
      <c r="A995" s="39">
        <v>994</v>
      </c>
      <c r="B995" s="3" t="s">
        <v>2615</v>
      </c>
      <c r="C995" s="75" t="s">
        <v>1797</v>
      </c>
      <c r="D995" s="75" t="s">
        <v>301</v>
      </c>
      <c r="E995" s="75" t="str">
        <f t="shared" si="10"/>
        <v>০</v>
      </c>
      <c r="F995" s="22" t="str">
        <f>"8119457815813"</f>
        <v>8119457815813</v>
      </c>
      <c r="G995" s="75" t="str">
        <f>"৫১৭"</f>
        <v>৫১৭</v>
      </c>
      <c r="H995" s="75" t="s">
        <v>323</v>
      </c>
      <c r="I995" s="75" t="s">
        <v>323</v>
      </c>
      <c r="J995" s="4"/>
    </row>
    <row r="996" spans="1:10" x14ac:dyDescent="0.25">
      <c r="A996" s="39">
        <v>995</v>
      </c>
      <c r="B996" s="3" t="s">
        <v>1634</v>
      </c>
      <c r="C996" s="75" t="s">
        <v>2616</v>
      </c>
      <c r="D996" s="75" t="s">
        <v>301</v>
      </c>
      <c r="E996" s="75" t="str">
        <f t="shared" si="10"/>
        <v>০</v>
      </c>
      <c r="F996" s="22" t="str">
        <f>"8119457815787"</f>
        <v>8119457815787</v>
      </c>
      <c r="G996" s="75" t="str">
        <f>"৫১৬"</f>
        <v>৫১৬</v>
      </c>
      <c r="H996" s="75" t="s">
        <v>326</v>
      </c>
      <c r="I996" s="75" t="s">
        <v>326</v>
      </c>
      <c r="J996" s="4"/>
    </row>
    <row r="997" spans="1:10" x14ac:dyDescent="0.25">
      <c r="A997" s="39">
        <v>996</v>
      </c>
      <c r="B997" s="3" t="s">
        <v>2617</v>
      </c>
      <c r="C997" s="75" t="s">
        <v>1673</v>
      </c>
      <c r="D997" s="75" t="s">
        <v>301</v>
      </c>
      <c r="E997" s="75" t="str">
        <f t="shared" si="10"/>
        <v>০</v>
      </c>
      <c r="F997" s="22" t="str">
        <f>"8119457815326"</f>
        <v>8119457815326</v>
      </c>
      <c r="G997" s="75" t="str">
        <f>"৫১৫"</f>
        <v>৫১৫</v>
      </c>
      <c r="H997" s="75" t="s">
        <v>331</v>
      </c>
      <c r="I997" s="75" t="s">
        <v>331</v>
      </c>
      <c r="J997" s="4"/>
    </row>
    <row r="998" spans="1:10" x14ac:dyDescent="0.25">
      <c r="A998" s="39">
        <v>997</v>
      </c>
      <c r="B998" s="3" t="s">
        <v>2618</v>
      </c>
      <c r="C998" s="75" t="s">
        <v>2619</v>
      </c>
      <c r="D998" s="75" t="s">
        <v>301</v>
      </c>
      <c r="E998" s="75" t="str">
        <f t="shared" si="10"/>
        <v>০</v>
      </c>
      <c r="F998" s="22" t="str">
        <f>"8119457816794"</f>
        <v>8119457816794</v>
      </c>
      <c r="G998" s="75" t="str">
        <f>"৫১৪"</f>
        <v>৫১৪</v>
      </c>
      <c r="H998" s="75" t="s">
        <v>329</v>
      </c>
      <c r="I998" s="75" t="s">
        <v>329</v>
      </c>
      <c r="J998" s="4"/>
    </row>
    <row r="999" spans="1:10" x14ac:dyDescent="0.25">
      <c r="A999" s="39">
        <v>998</v>
      </c>
      <c r="B999" s="3" t="s">
        <v>2620</v>
      </c>
      <c r="C999" s="75" t="s">
        <v>2621</v>
      </c>
      <c r="D999" s="75" t="s">
        <v>301</v>
      </c>
      <c r="E999" s="75" t="str">
        <f>"০১৭৫৮৪৩১০৮৫"</f>
        <v>০১৭৫৮৪৩১০৮৫</v>
      </c>
      <c r="F999" s="22" t="str">
        <f>"8119457815630"</f>
        <v>8119457815630</v>
      </c>
      <c r="G999" s="75" t="str">
        <f>"৫১৩"</f>
        <v>৫১৩</v>
      </c>
      <c r="H999" s="75" t="s">
        <v>332</v>
      </c>
      <c r="I999" s="75" t="s">
        <v>332</v>
      </c>
      <c r="J999" s="4"/>
    </row>
    <row r="1000" spans="1:10" x14ac:dyDescent="0.25">
      <c r="A1000" s="39">
        <v>999</v>
      </c>
      <c r="B1000" s="3" t="s">
        <v>1578</v>
      </c>
      <c r="C1000" s="75" t="s">
        <v>2056</v>
      </c>
      <c r="D1000" s="75" t="s">
        <v>301</v>
      </c>
      <c r="E1000" s="75" t="str">
        <f t="shared" ref="E1000:E1031" si="11">"০"</f>
        <v>০</v>
      </c>
      <c r="F1000" s="22" t="str">
        <f>"8119457815996"</f>
        <v>8119457815996</v>
      </c>
      <c r="G1000" s="75" t="str">
        <f>"৫১২"</f>
        <v>৫১২</v>
      </c>
      <c r="H1000" s="75" t="s">
        <v>316</v>
      </c>
      <c r="I1000" s="75" t="s">
        <v>316</v>
      </c>
      <c r="J1000" s="4"/>
    </row>
    <row r="1001" spans="1:10" x14ac:dyDescent="0.25">
      <c r="A1001" s="39">
        <v>1000</v>
      </c>
      <c r="B1001" s="3" t="s">
        <v>2267</v>
      </c>
      <c r="C1001" s="75" t="s">
        <v>2056</v>
      </c>
      <c r="D1001" s="75" t="s">
        <v>301</v>
      </c>
      <c r="E1001" s="75" t="str">
        <f t="shared" si="11"/>
        <v>০</v>
      </c>
      <c r="F1001" s="22" t="str">
        <f>"8119457816037"</f>
        <v>8119457816037</v>
      </c>
      <c r="G1001" s="75" t="str">
        <f>"৫১১"</f>
        <v>৫১১</v>
      </c>
      <c r="H1001" s="75" t="s">
        <v>330</v>
      </c>
      <c r="I1001" s="75" t="s">
        <v>330</v>
      </c>
      <c r="J1001" s="4"/>
    </row>
    <row r="1002" spans="1:10" x14ac:dyDescent="0.25">
      <c r="A1002" s="39">
        <v>1001</v>
      </c>
      <c r="B1002" s="3" t="s">
        <v>1536</v>
      </c>
      <c r="C1002" s="75" t="s">
        <v>2608</v>
      </c>
      <c r="D1002" s="75" t="s">
        <v>301</v>
      </c>
      <c r="E1002" s="75" t="str">
        <f t="shared" si="11"/>
        <v>০</v>
      </c>
      <c r="F1002" s="22" t="str">
        <f>"8119457815806"</f>
        <v>8119457815806</v>
      </c>
      <c r="G1002" s="75" t="str">
        <f>"৫১০"</f>
        <v>৫১০</v>
      </c>
      <c r="H1002" s="75" t="s">
        <v>333</v>
      </c>
      <c r="I1002" s="75" t="s">
        <v>333</v>
      </c>
      <c r="J1002" s="4"/>
    </row>
    <row r="1003" spans="1:10" x14ac:dyDescent="0.25">
      <c r="A1003" s="39">
        <v>1002</v>
      </c>
      <c r="B1003" s="3" t="s">
        <v>2622</v>
      </c>
      <c r="C1003" s="75" t="s">
        <v>1953</v>
      </c>
      <c r="D1003" s="75" t="s">
        <v>301</v>
      </c>
      <c r="E1003" s="75" t="str">
        <f t="shared" si="11"/>
        <v>০</v>
      </c>
      <c r="F1003" s="22" t="str">
        <f>"8119457815499"</f>
        <v>8119457815499</v>
      </c>
      <c r="G1003" s="75" t="str">
        <f>"৫০৯"</f>
        <v>৫০৯</v>
      </c>
      <c r="H1003" s="75" t="s">
        <v>319</v>
      </c>
      <c r="I1003" s="75" t="s">
        <v>319</v>
      </c>
      <c r="J1003" s="4"/>
    </row>
    <row r="1004" spans="1:10" x14ac:dyDescent="0.25">
      <c r="A1004" s="39">
        <v>1003</v>
      </c>
      <c r="B1004" s="3" t="s">
        <v>1997</v>
      </c>
      <c r="C1004" s="75" t="s">
        <v>1797</v>
      </c>
      <c r="D1004" s="75" t="s">
        <v>301</v>
      </c>
      <c r="E1004" s="75" t="str">
        <f t="shared" si="11"/>
        <v>০</v>
      </c>
      <c r="F1004" s="22" t="str">
        <f>"8119457816240"</f>
        <v>8119457816240</v>
      </c>
      <c r="G1004" s="75" t="str">
        <f>"৫০৮"</f>
        <v>৫০৮</v>
      </c>
      <c r="H1004" s="75" t="s">
        <v>322</v>
      </c>
      <c r="I1004" s="75" t="s">
        <v>322</v>
      </c>
      <c r="J1004" s="4"/>
    </row>
    <row r="1005" spans="1:10" x14ac:dyDescent="0.25">
      <c r="A1005" s="39">
        <v>1004</v>
      </c>
      <c r="B1005" s="3" t="s">
        <v>2623</v>
      </c>
      <c r="C1005" s="75" t="s">
        <v>2624</v>
      </c>
      <c r="D1005" s="75" t="s">
        <v>301</v>
      </c>
      <c r="E1005" s="75" t="str">
        <f t="shared" si="11"/>
        <v>০</v>
      </c>
      <c r="F1005" s="22" t="str">
        <f>"8119457816504"</f>
        <v>8119457816504</v>
      </c>
      <c r="G1005" s="75" t="str">
        <f>"৫০৭"</f>
        <v>৫০৭</v>
      </c>
      <c r="H1005" s="75" t="s">
        <v>319</v>
      </c>
      <c r="I1005" s="75" t="s">
        <v>319</v>
      </c>
      <c r="J1005" s="4"/>
    </row>
    <row r="1006" spans="1:10" x14ac:dyDescent="0.25">
      <c r="A1006" s="39">
        <v>1005</v>
      </c>
      <c r="B1006" s="3" t="s">
        <v>2625</v>
      </c>
      <c r="C1006" s="75" t="s">
        <v>2626</v>
      </c>
      <c r="D1006" s="75" t="s">
        <v>301</v>
      </c>
      <c r="E1006" s="75" t="str">
        <f t="shared" si="11"/>
        <v>০</v>
      </c>
      <c r="F1006" s="22" t="str">
        <f>"8119457816486"</f>
        <v>8119457816486</v>
      </c>
      <c r="G1006" s="75" t="str">
        <f>"৫০৬"</f>
        <v>৫০৬</v>
      </c>
      <c r="H1006" s="75" t="s">
        <v>315</v>
      </c>
      <c r="I1006" s="75" t="s">
        <v>315</v>
      </c>
      <c r="J1006" s="4"/>
    </row>
    <row r="1007" spans="1:10" x14ac:dyDescent="0.25">
      <c r="A1007" s="39">
        <v>1006</v>
      </c>
      <c r="B1007" s="3" t="s">
        <v>1672</v>
      </c>
      <c r="C1007" s="75" t="s">
        <v>2425</v>
      </c>
      <c r="D1007" s="75" t="s">
        <v>301</v>
      </c>
      <c r="E1007" s="75" t="str">
        <f t="shared" si="11"/>
        <v>০</v>
      </c>
      <c r="F1007" s="22" t="str">
        <f>"8119457815854"</f>
        <v>8119457815854</v>
      </c>
      <c r="G1007" s="75" t="str">
        <f>"৫০৫"</f>
        <v>৫০৫</v>
      </c>
      <c r="H1007" s="75" t="s">
        <v>316</v>
      </c>
      <c r="I1007" s="75" t="s">
        <v>316</v>
      </c>
      <c r="J1007" s="4"/>
    </row>
    <row r="1008" spans="1:10" x14ac:dyDescent="0.25">
      <c r="A1008" s="39">
        <v>1007</v>
      </c>
      <c r="B1008" s="3" t="s">
        <v>2627</v>
      </c>
      <c r="C1008" s="75" t="s">
        <v>1756</v>
      </c>
      <c r="D1008" s="75" t="s">
        <v>301</v>
      </c>
      <c r="E1008" s="75" t="str">
        <f t="shared" si="11"/>
        <v>০</v>
      </c>
      <c r="F1008" s="22" t="str">
        <f>"8119457816291"</f>
        <v>8119457816291</v>
      </c>
      <c r="G1008" s="75" t="str">
        <f>"৫০৪"</f>
        <v>৫০৪</v>
      </c>
      <c r="H1008" s="75" t="s">
        <v>317</v>
      </c>
      <c r="I1008" s="75" t="s">
        <v>317</v>
      </c>
      <c r="J1008" s="4"/>
    </row>
    <row r="1009" spans="1:10" x14ac:dyDescent="0.25">
      <c r="A1009" s="39">
        <v>1008</v>
      </c>
      <c r="B1009" s="3" t="s">
        <v>2628</v>
      </c>
      <c r="C1009" s="75" t="s">
        <v>1673</v>
      </c>
      <c r="D1009" s="75" t="s">
        <v>301</v>
      </c>
      <c r="E1009" s="75" t="str">
        <f t="shared" si="11"/>
        <v>০</v>
      </c>
      <c r="F1009" s="22" t="str">
        <f>"8119457816127"</f>
        <v>8119457816127</v>
      </c>
      <c r="G1009" s="75" t="str">
        <f>"৫০৩"</f>
        <v>৫০৩</v>
      </c>
      <c r="H1009" s="75" t="s">
        <v>318</v>
      </c>
      <c r="I1009" s="75" t="s">
        <v>318</v>
      </c>
      <c r="J1009" s="4"/>
    </row>
    <row r="1010" spans="1:10" x14ac:dyDescent="0.25">
      <c r="A1010" s="39">
        <v>1009</v>
      </c>
      <c r="B1010" s="3" t="s">
        <v>2199</v>
      </c>
      <c r="C1010" s="75" t="s">
        <v>2608</v>
      </c>
      <c r="D1010" s="75" t="s">
        <v>301</v>
      </c>
      <c r="E1010" s="75" t="str">
        <f t="shared" si="11"/>
        <v>০</v>
      </c>
      <c r="F1010" s="22" t="str">
        <f>"8119457815994"</f>
        <v>8119457815994</v>
      </c>
      <c r="G1010" s="75" t="str">
        <f>"৫০২"</f>
        <v>৫০২</v>
      </c>
      <c r="H1010" s="75" t="s">
        <v>319</v>
      </c>
      <c r="I1010" s="75" t="s">
        <v>319</v>
      </c>
      <c r="J1010" s="4"/>
    </row>
    <row r="1011" spans="1:10" x14ac:dyDescent="0.25">
      <c r="A1011" s="39">
        <v>1010</v>
      </c>
      <c r="B1011" s="3" t="s">
        <v>2629</v>
      </c>
      <c r="C1011" s="75" t="s">
        <v>2630</v>
      </c>
      <c r="D1011" s="75" t="s">
        <v>301</v>
      </c>
      <c r="E1011" s="75" t="str">
        <f t="shared" si="11"/>
        <v>০</v>
      </c>
      <c r="F1011" s="22" t="str">
        <f>"8119457815095"</f>
        <v>8119457815095</v>
      </c>
      <c r="G1011" s="75" t="str">
        <f>"৫০১"</f>
        <v>৫০১</v>
      </c>
      <c r="H1011" s="75" t="s">
        <v>320</v>
      </c>
      <c r="I1011" s="75" t="s">
        <v>320</v>
      </c>
      <c r="J1011" s="4"/>
    </row>
    <row r="1012" spans="1:10" x14ac:dyDescent="0.25">
      <c r="A1012" s="39">
        <v>1011</v>
      </c>
      <c r="B1012" s="3" t="s">
        <v>2631</v>
      </c>
      <c r="C1012" s="75" t="s">
        <v>2632</v>
      </c>
      <c r="D1012" s="75" t="s">
        <v>301</v>
      </c>
      <c r="E1012" s="75" t="str">
        <f t="shared" si="11"/>
        <v>০</v>
      </c>
      <c r="F1012" s="22" t="str">
        <f>"8119457816198"</f>
        <v>8119457816198</v>
      </c>
      <c r="G1012" s="75" t="str">
        <f>"৫০০"</f>
        <v>৫০০</v>
      </c>
      <c r="H1012" s="75" t="s">
        <v>315</v>
      </c>
      <c r="I1012" s="75" t="s">
        <v>315</v>
      </c>
      <c r="J1012" s="4"/>
    </row>
    <row r="1013" spans="1:10" x14ac:dyDescent="0.25">
      <c r="A1013" s="39">
        <v>1012</v>
      </c>
      <c r="B1013" s="3" t="s">
        <v>2633</v>
      </c>
      <c r="C1013" s="75" t="s">
        <v>2634</v>
      </c>
      <c r="D1013" s="75" t="s">
        <v>301</v>
      </c>
      <c r="E1013" s="75" t="str">
        <f t="shared" si="11"/>
        <v>০</v>
      </c>
      <c r="F1013" s="22" t="str">
        <f>"8119457816797"</f>
        <v>8119457816797</v>
      </c>
      <c r="G1013" s="75" t="str">
        <f>"৪৯৯"</f>
        <v>৪৯৯</v>
      </c>
      <c r="H1013" s="75" t="s">
        <v>313</v>
      </c>
      <c r="I1013" s="75" t="s">
        <v>313</v>
      </c>
      <c r="J1013" s="4"/>
    </row>
    <row r="1014" spans="1:10" x14ac:dyDescent="0.25">
      <c r="A1014" s="39">
        <v>1013</v>
      </c>
      <c r="B1014" s="3" t="s">
        <v>1745</v>
      </c>
      <c r="C1014" s="75" t="s">
        <v>2635</v>
      </c>
      <c r="D1014" s="75" t="s">
        <v>301</v>
      </c>
      <c r="E1014" s="75" t="str">
        <f t="shared" si="11"/>
        <v>০</v>
      </c>
      <c r="F1014" s="22" t="str">
        <f>"8119457815265"</f>
        <v>8119457815265</v>
      </c>
      <c r="G1014" s="75" t="str">
        <f>"৪৯৮"</f>
        <v>৪৯৮</v>
      </c>
      <c r="H1014" s="75" t="s">
        <v>314</v>
      </c>
      <c r="I1014" s="75" t="s">
        <v>314</v>
      </c>
      <c r="J1014" s="4"/>
    </row>
    <row r="1015" spans="1:10" x14ac:dyDescent="0.25">
      <c r="A1015" s="39">
        <v>1014</v>
      </c>
      <c r="B1015" s="3" t="s">
        <v>2636</v>
      </c>
      <c r="C1015" s="75" t="s">
        <v>2637</v>
      </c>
      <c r="D1015" s="75" t="s">
        <v>301</v>
      </c>
      <c r="E1015" s="75" t="str">
        <f t="shared" si="11"/>
        <v>০</v>
      </c>
      <c r="F1015" s="22" t="str">
        <f>"8119457815389"</f>
        <v>8119457815389</v>
      </c>
      <c r="G1015" s="75" t="str">
        <f>"৪৯৭"</f>
        <v>৪৯৭</v>
      </c>
      <c r="H1015" s="75" t="s">
        <v>321</v>
      </c>
      <c r="I1015" s="75" t="s">
        <v>321</v>
      </c>
      <c r="J1015" s="4"/>
    </row>
    <row r="1016" spans="1:10" x14ac:dyDescent="0.25">
      <c r="A1016" s="39">
        <v>1015</v>
      </c>
      <c r="B1016" s="3" t="s">
        <v>2638</v>
      </c>
      <c r="C1016" s="75" t="s">
        <v>1539</v>
      </c>
      <c r="D1016" s="75" t="s">
        <v>301</v>
      </c>
      <c r="E1016" s="75" t="str">
        <f t="shared" si="11"/>
        <v>০</v>
      </c>
      <c r="F1016" s="22" t="str">
        <f>"8119457815349"</f>
        <v>8119457815349</v>
      </c>
      <c r="G1016" s="75" t="str">
        <f>"৪৯৬"</f>
        <v>৪৯৬</v>
      </c>
      <c r="H1016" s="75" t="s">
        <v>322</v>
      </c>
      <c r="I1016" s="75" t="s">
        <v>322</v>
      </c>
      <c r="J1016" s="4"/>
    </row>
    <row r="1017" spans="1:10" x14ac:dyDescent="0.25">
      <c r="A1017" s="39">
        <v>1016</v>
      </c>
      <c r="B1017" s="3" t="s">
        <v>2639</v>
      </c>
      <c r="C1017" s="75" t="s">
        <v>180</v>
      </c>
      <c r="D1017" s="75" t="s">
        <v>301</v>
      </c>
      <c r="E1017" s="75" t="str">
        <f t="shared" si="11"/>
        <v>০</v>
      </c>
      <c r="F1017" s="22" t="str">
        <f>"8119457815057"</f>
        <v>8119457815057</v>
      </c>
      <c r="G1017" s="75" t="str">
        <f>"৪৯৫"</f>
        <v>৪৯৫</v>
      </c>
      <c r="H1017" s="75" t="s">
        <v>314</v>
      </c>
      <c r="I1017" s="75" t="s">
        <v>314</v>
      </c>
      <c r="J1017" s="4"/>
    </row>
    <row r="1018" spans="1:10" x14ac:dyDescent="0.25">
      <c r="A1018" s="39">
        <v>1017</v>
      </c>
      <c r="B1018" s="3" t="s">
        <v>2027</v>
      </c>
      <c r="C1018" s="75" t="s">
        <v>2640</v>
      </c>
      <c r="D1018" s="75" t="s">
        <v>301</v>
      </c>
      <c r="E1018" s="75" t="str">
        <f t="shared" si="11"/>
        <v>০</v>
      </c>
      <c r="F1018" s="22" t="str">
        <f>"8119457816383"</f>
        <v>8119457816383</v>
      </c>
      <c r="G1018" s="75" t="str">
        <f>"৪৯৪"</f>
        <v>৪৯৪</v>
      </c>
      <c r="H1018" s="75" t="s">
        <v>323</v>
      </c>
      <c r="I1018" s="75" t="s">
        <v>323</v>
      </c>
      <c r="J1018" s="4"/>
    </row>
    <row r="1019" spans="1:10" x14ac:dyDescent="0.25">
      <c r="A1019" s="39">
        <v>1018</v>
      </c>
      <c r="B1019" s="3" t="s">
        <v>2641</v>
      </c>
      <c r="C1019" s="75" t="s">
        <v>2642</v>
      </c>
      <c r="D1019" s="75" t="s">
        <v>301</v>
      </c>
      <c r="E1019" s="75" t="str">
        <f t="shared" si="11"/>
        <v>০</v>
      </c>
      <c r="F1019" s="22" t="str">
        <f>"8119457816004"</f>
        <v>8119457816004</v>
      </c>
      <c r="G1019" s="75" t="str">
        <f>"৪৯৩"</f>
        <v>৪৯৩</v>
      </c>
      <c r="H1019" s="75" t="s">
        <v>324</v>
      </c>
      <c r="I1019" s="75" t="s">
        <v>324</v>
      </c>
      <c r="J1019" s="4"/>
    </row>
    <row r="1020" spans="1:10" x14ac:dyDescent="0.25">
      <c r="A1020" s="39">
        <v>1019</v>
      </c>
      <c r="B1020" s="3" t="s">
        <v>2643</v>
      </c>
      <c r="C1020" s="75" t="s">
        <v>1985</v>
      </c>
      <c r="D1020" s="75" t="s">
        <v>301</v>
      </c>
      <c r="E1020" s="75" t="str">
        <f t="shared" si="11"/>
        <v>০</v>
      </c>
      <c r="F1020" s="22" t="str">
        <f>"8119457815408"</f>
        <v>8119457815408</v>
      </c>
      <c r="G1020" s="75" t="str">
        <f>"৪৯২"</f>
        <v>৪৯২</v>
      </c>
      <c r="H1020" s="75" t="s">
        <v>325</v>
      </c>
      <c r="I1020" s="75" t="s">
        <v>325</v>
      </c>
      <c r="J1020" s="4"/>
    </row>
    <row r="1021" spans="1:10" x14ac:dyDescent="0.25">
      <c r="A1021" s="39">
        <v>1020</v>
      </c>
      <c r="B1021" s="3" t="s">
        <v>2644</v>
      </c>
      <c r="C1021" s="75" t="s">
        <v>2645</v>
      </c>
      <c r="D1021" s="75" t="s">
        <v>301</v>
      </c>
      <c r="E1021" s="75" t="str">
        <f t="shared" si="11"/>
        <v>০</v>
      </c>
      <c r="F1021" s="22" t="str">
        <f>"8119457815743"</f>
        <v>8119457815743</v>
      </c>
      <c r="G1021" s="75" t="str">
        <f>"৪৯১"</f>
        <v>৪৯১</v>
      </c>
      <c r="H1021" s="75" t="s">
        <v>319</v>
      </c>
      <c r="I1021" s="75" t="s">
        <v>319</v>
      </c>
      <c r="J1021" s="4"/>
    </row>
    <row r="1022" spans="1:10" x14ac:dyDescent="0.25">
      <c r="A1022" s="39">
        <v>1021</v>
      </c>
      <c r="B1022" s="3" t="s">
        <v>2646</v>
      </c>
      <c r="C1022" s="75" t="s">
        <v>2647</v>
      </c>
      <c r="D1022" s="75" t="s">
        <v>301</v>
      </c>
      <c r="E1022" s="75" t="str">
        <f t="shared" si="11"/>
        <v>০</v>
      </c>
      <c r="F1022" s="22" t="str">
        <f>"8119457815287"</f>
        <v>8119457815287</v>
      </c>
      <c r="G1022" s="75" t="str">
        <f>"৪৯০"</f>
        <v>৪৯০</v>
      </c>
      <c r="H1022" s="75" t="s">
        <v>326</v>
      </c>
      <c r="I1022" s="75" t="s">
        <v>326</v>
      </c>
      <c r="J1022" s="4"/>
    </row>
    <row r="1023" spans="1:10" x14ac:dyDescent="0.25">
      <c r="A1023" s="39">
        <v>1022</v>
      </c>
      <c r="B1023" s="3" t="s">
        <v>2648</v>
      </c>
      <c r="C1023" s="75" t="s">
        <v>1975</v>
      </c>
      <c r="D1023" s="75" t="s">
        <v>301</v>
      </c>
      <c r="E1023" s="75" t="str">
        <f t="shared" si="11"/>
        <v>০</v>
      </c>
      <c r="F1023" s="22" t="str">
        <f>"8119457816334"</f>
        <v>8119457816334</v>
      </c>
      <c r="G1023" s="75" t="str">
        <f>"৪৮৯"</f>
        <v>৪৮৯</v>
      </c>
      <c r="H1023" s="75" t="s">
        <v>327</v>
      </c>
      <c r="I1023" s="75" t="s">
        <v>327</v>
      </c>
      <c r="J1023" s="4"/>
    </row>
    <row r="1024" spans="1:10" x14ac:dyDescent="0.25">
      <c r="A1024" s="39">
        <v>1023</v>
      </c>
      <c r="B1024" s="3" t="s">
        <v>2553</v>
      </c>
      <c r="C1024" s="75" t="s">
        <v>2649</v>
      </c>
      <c r="D1024" s="75" t="s">
        <v>301</v>
      </c>
      <c r="E1024" s="75" t="str">
        <f t="shared" si="11"/>
        <v>০</v>
      </c>
      <c r="F1024" s="22" t="str">
        <f>"8119457816548"</f>
        <v>8119457816548</v>
      </c>
      <c r="G1024" s="75" t="str">
        <f>"৪৮৮"</f>
        <v>৪৮৮</v>
      </c>
      <c r="H1024" s="75" t="s">
        <v>328</v>
      </c>
      <c r="I1024" s="75" t="s">
        <v>328</v>
      </c>
      <c r="J1024" s="4"/>
    </row>
    <row r="1025" spans="1:10" x14ac:dyDescent="0.25">
      <c r="A1025" s="39">
        <v>1024</v>
      </c>
      <c r="B1025" s="3" t="s">
        <v>2650</v>
      </c>
      <c r="C1025" s="75" t="s">
        <v>2651</v>
      </c>
      <c r="D1025" s="75" t="s">
        <v>301</v>
      </c>
      <c r="E1025" s="75" t="str">
        <f t="shared" si="11"/>
        <v>০</v>
      </c>
      <c r="F1025" s="22" t="str">
        <f>"8119457815249"</f>
        <v>8119457815249</v>
      </c>
      <c r="G1025" s="75" t="str">
        <f>"৪৮৭"</f>
        <v>৪৮৭</v>
      </c>
      <c r="H1025" s="75" t="s">
        <v>329</v>
      </c>
      <c r="I1025" s="75" t="s">
        <v>329</v>
      </c>
      <c r="J1025" s="4"/>
    </row>
    <row r="1026" spans="1:10" x14ac:dyDescent="0.25">
      <c r="A1026" s="39">
        <v>1025</v>
      </c>
      <c r="B1026" s="3" t="s">
        <v>2652</v>
      </c>
      <c r="C1026" s="75" t="s">
        <v>2653</v>
      </c>
      <c r="D1026" s="75" t="s">
        <v>301</v>
      </c>
      <c r="E1026" s="75" t="str">
        <f t="shared" si="11"/>
        <v>০</v>
      </c>
      <c r="F1026" s="22" t="str">
        <f>"8119457815416"</f>
        <v>8119457815416</v>
      </c>
      <c r="G1026" s="75" t="str">
        <f>"৪৮৬"</f>
        <v>৪৮৬</v>
      </c>
      <c r="H1026" s="75" t="s">
        <v>330</v>
      </c>
      <c r="I1026" s="75" t="s">
        <v>330</v>
      </c>
      <c r="J1026" s="4"/>
    </row>
    <row r="1027" spans="1:10" x14ac:dyDescent="0.25">
      <c r="A1027" s="39">
        <v>1026</v>
      </c>
      <c r="B1027" s="3" t="s">
        <v>2654</v>
      </c>
      <c r="C1027" s="75" t="s">
        <v>1954</v>
      </c>
      <c r="D1027" s="75" t="s">
        <v>301</v>
      </c>
      <c r="E1027" s="75" t="str">
        <f t="shared" si="11"/>
        <v>০</v>
      </c>
      <c r="F1027" s="22" t="str">
        <f>"8119457816811"</f>
        <v>8119457816811</v>
      </c>
      <c r="G1027" s="75" t="str">
        <f>"৪৮৫"</f>
        <v>৪৮৫</v>
      </c>
      <c r="H1027" s="75" t="s">
        <v>319</v>
      </c>
      <c r="I1027" s="75" t="s">
        <v>319</v>
      </c>
      <c r="J1027" s="4"/>
    </row>
    <row r="1028" spans="1:10" x14ac:dyDescent="0.25">
      <c r="A1028" s="39">
        <v>1027</v>
      </c>
      <c r="B1028" s="3" t="s">
        <v>2655</v>
      </c>
      <c r="C1028" s="75" t="s">
        <v>2656</v>
      </c>
      <c r="D1028" s="75" t="s">
        <v>301</v>
      </c>
      <c r="E1028" s="75" t="str">
        <f t="shared" si="11"/>
        <v>০</v>
      </c>
      <c r="F1028" s="22" t="str">
        <f>"8119457815342"</f>
        <v>8119457815342</v>
      </c>
      <c r="G1028" s="75" t="str">
        <f>"৪৮৪"</f>
        <v>৪৮৪</v>
      </c>
      <c r="H1028" s="75" t="s">
        <v>317</v>
      </c>
      <c r="I1028" s="75" t="s">
        <v>317</v>
      </c>
      <c r="J1028" s="4"/>
    </row>
    <row r="1029" spans="1:10" x14ac:dyDescent="0.25">
      <c r="A1029" s="39">
        <v>1028</v>
      </c>
      <c r="B1029" s="3" t="s">
        <v>1542</v>
      </c>
      <c r="C1029" s="75" t="s">
        <v>2014</v>
      </c>
      <c r="D1029" s="75" t="s">
        <v>301</v>
      </c>
      <c r="E1029" s="75" t="str">
        <f t="shared" si="11"/>
        <v>০</v>
      </c>
      <c r="F1029" s="22" t="str">
        <f>"8119457816382"</f>
        <v>8119457816382</v>
      </c>
      <c r="G1029" s="75" t="str">
        <f>"৪৮৩"</f>
        <v>৪৮৩</v>
      </c>
      <c r="H1029" s="75" t="s">
        <v>323</v>
      </c>
      <c r="I1029" s="75" t="s">
        <v>323</v>
      </c>
      <c r="J1029" s="4"/>
    </row>
    <row r="1030" spans="1:10" x14ac:dyDescent="0.25">
      <c r="A1030" s="39">
        <v>1029</v>
      </c>
      <c r="B1030" s="3" t="s">
        <v>2657</v>
      </c>
      <c r="C1030" s="75" t="s">
        <v>2658</v>
      </c>
      <c r="D1030" s="75" t="s">
        <v>301</v>
      </c>
      <c r="E1030" s="75" t="str">
        <f t="shared" si="11"/>
        <v>০</v>
      </c>
      <c r="F1030" s="22" t="str">
        <f>"8119457815091"</f>
        <v>8119457815091</v>
      </c>
      <c r="G1030" s="75" t="str">
        <f>"৪৮২"</f>
        <v>৪৮২</v>
      </c>
      <c r="H1030" s="75" t="s">
        <v>326</v>
      </c>
      <c r="I1030" s="75" t="s">
        <v>326</v>
      </c>
      <c r="J1030" s="4"/>
    </row>
    <row r="1031" spans="1:10" x14ac:dyDescent="0.25">
      <c r="A1031" s="39">
        <v>1030</v>
      </c>
      <c r="B1031" s="3" t="s">
        <v>2473</v>
      </c>
      <c r="C1031" s="75" t="s">
        <v>1954</v>
      </c>
      <c r="D1031" s="75" t="s">
        <v>301</v>
      </c>
      <c r="E1031" s="75" t="str">
        <f t="shared" si="11"/>
        <v>০</v>
      </c>
      <c r="F1031" s="22" t="str">
        <f>"8119457816351"</f>
        <v>8119457816351</v>
      </c>
      <c r="G1031" s="75" t="str">
        <f>"৪৮১"</f>
        <v>৪৮১</v>
      </c>
      <c r="H1031" s="75" t="s">
        <v>331</v>
      </c>
      <c r="I1031" s="75" t="s">
        <v>331</v>
      </c>
      <c r="J1031" s="4"/>
    </row>
    <row r="1032" spans="1:10" x14ac:dyDescent="0.25">
      <c r="A1032" s="39">
        <v>1031</v>
      </c>
      <c r="B1032" s="3" t="s">
        <v>2022</v>
      </c>
      <c r="C1032" s="75" t="s">
        <v>2023</v>
      </c>
      <c r="D1032" s="75" t="s">
        <v>301</v>
      </c>
      <c r="E1032" s="75" t="str">
        <f>"০১৭৪৭২০২১৫৫"</f>
        <v>০১৭৪৭২০২১৫৫</v>
      </c>
      <c r="F1032" s="22" t="str">
        <f>"8119457816038"</f>
        <v>8119457816038</v>
      </c>
      <c r="G1032" s="75" t="str">
        <f>"৪৮০"</f>
        <v>৪৮০</v>
      </c>
      <c r="H1032" s="75" t="s">
        <v>329</v>
      </c>
      <c r="I1032" s="75" t="s">
        <v>329</v>
      </c>
      <c r="J1032" s="4"/>
    </row>
    <row r="1033" spans="1:10" x14ac:dyDescent="0.25">
      <c r="A1033" s="39">
        <v>1032</v>
      </c>
      <c r="B1033" s="3" t="s">
        <v>2659</v>
      </c>
      <c r="C1033" s="75" t="s">
        <v>2645</v>
      </c>
      <c r="D1033" s="75" t="s">
        <v>301</v>
      </c>
      <c r="E1033" s="75" t="str">
        <f>"০"</f>
        <v>০</v>
      </c>
      <c r="F1033" s="22" t="str">
        <f>"8119457815184"</f>
        <v>8119457815184</v>
      </c>
      <c r="G1033" s="75" t="str">
        <f>"৪৭৯"</f>
        <v>৪৭৯</v>
      </c>
      <c r="H1033" s="75" t="s">
        <v>332</v>
      </c>
      <c r="I1033" s="75" t="s">
        <v>332</v>
      </c>
      <c r="J1033" s="4"/>
    </row>
    <row r="1034" spans="1:10" x14ac:dyDescent="0.25">
      <c r="A1034" s="39">
        <v>1033</v>
      </c>
      <c r="B1034" s="3" t="s">
        <v>2660</v>
      </c>
      <c r="C1034" s="75" t="s">
        <v>2661</v>
      </c>
      <c r="D1034" s="75" t="s">
        <v>301</v>
      </c>
      <c r="E1034" s="75" t="str">
        <f>"০"</f>
        <v>০</v>
      </c>
      <c r="F1034" s="22" t="str">
        <f>"8119457815327"</f>
        <v>8119457815327</v>
      </c>
      <c r="G1034" s="75" t="str">
        <f>"৪৭৮"</f>
        <v>৪৭৮</v>
      </c>
      <c r="H1034" s="75" t="s">
        <v>316</v>
      </c>
      <c r="I1034" s="75" t="s">
        <v>316</v>
      </c>
      <c r="J1034" s="4"/>
    </row>
    <row r="1035" spans="1:10" x14ac:dyDescent="0.25">
      <c r="A1035" s="39">
        <v>1034</v>
      </c>
      <c r="B1035" s="3" t="s">
        <v>1791</v>
      </c>
      <c r="C1035" s="75" t="s">
        <v>2025</v>
      </c>
      <c r="D1035" s="75" t="s">
        <v>301</v>
      </c>
      <c r="E1035" s="75" t="str">
        <f>"০১৮৫৮১০২৮৩৮"</f>
        <v>০১৮৫৮১০২৮৩৮</v>
      </c>
      <c r="F1035" s="22" t="str">
        <f>"8119457815428"</f>
        <v>8119457815428</v>
      </c>
      <c r="G1035" s="75" t="str">
        <f>"৪৭৭"</f>
        <v>৪৭৭</v>
      </c>
      <c r="H1035" s="75" t="s">
        <v>330</v>
      </c>
      <c r="I1035" s="75" t="s">
        <v>330</v>
      </c>
      <c r="J1035" s="4"/>
    </row>
    <row r="1036" spans="1:10" x14ac:dyDescent="0.25">
      <c r="A1036" s="39">
        <v>1035</v>
      </c>
      <c r="B1036" s="3" t="s">
        <v>2026</v>
      </c>
      <c r="C1036" s="75" t="s">
        <v>2027</v>
      </c>
      <c r="D1036" s="75" t="s">
        <v>301</v>
      </c>
      <c r="E1036" s="75" t="str">
        <f>"০১৭২৮৪০৩৮৬৮"</f>
        <v>০১৭২৮৪০৩৮৬৮</v>
      </c>
      <c r="F1036" s="22" t="str">
        <f>"8119457815520"</f>
        <v>8119457815520</v>
      </c>
      <c r="G1036" s="75" t="str">
        <f>"৪৭৬"</f>
        <v>৪৭৬</v>
      </c>
      <c r="H1036" s="75" t="s">
        <v>333</v>
      </c>
      <c r="I1036" s="75" t="s">
        <v>333</v>
      </c>
      <c r="J1036" s="4"/>
    </row>
    <row r="1037" spans="1:10" x14ac:dyDescent="0.25">
      <c r="A1037" s="39">
        <v>1036</v>
      </c>
      <c r="B1037" s="3" t="s">
        <v>2028</v>
      </c>
      <c r="C1037" s="75" t="s">
        <v>2029</v>
      </c>
      <c r="D1037" s="75" t="s">
        <v>301</v>
      </c>
      <c r="E1037" s="75" t="str">
        <f>"০১৭২৪২৬৭১৭৩"</f>
        <v>০১৭২৪২৬৭১৭৩</v>
      </c>
      <c r="F1037" s="22" t="str">
        <f>"8119457815828"</f>
        <v>8119457815828</v>
      </c>
      <c r="G1037" s="75" t="str">
        <f>"৪৭৫"</f>
        <v>৪৭৫</v>
      </c>
      <c r="H1037" s="75" t="s">
        <v>319</v>
      </c>
      <c r="I1037" s="75" t="s">
        <v>319</v>
      </c>
      <c r="J1037" s="4"/>
    </row>
    <row r="1038" spans="1:10" x14ac:dyDescent="0.25">
      <c r="A1038" s="39">
        <v>1037</v>
      </c>
      <c r="B1038" s="3" t="s">
        <v>2526</v>
      </c>
      <c r="C1038" s="75" t="s">
        <v>1954</v>
      </c>
      <c r="D1038" s="75" t="s">
        <v>301</v>
      </c>
      <c r="E1038" s="75" t="str">
        <f>"০"</f>
        <v>০</v>
      </c>
      <c r="F1038" s="22" t="str">
        <f>"8119457815813"</f>
        <v>8119457815813</v>
      </c>
      <c r="G1038" s="75" t="str">
        <f>"৪৭৪"</f>
        <v>৪৭৪</v>
      </c>
      <c r="H1038" s="75" t="s">
        <v>322</v>
      </c>
      <c r="I1038" s="75" t="s">
        <v>322</v>
      </c>
      <c r="J1038" s="4"/>
    </row>
    <row r="1039" spans="1:10" x14ac:dyDescent="0.25">
      <c r="A1039" s="39">
        <v>1038</v>
      </c>
      <c r="B1039" s="3" t="s">
        <v>2662</v>
      </c>
      <c r="C1039" s="75" t="s">
        <v>2663</v>
      </c>
      <c r="D1039" s="75" t="s">
        <v>301</v>
      </c>
      <c r="E1039" s="75" t="str">
        <f>"০"</f>
        <v>০</v>
      </c>
      <c r="F1039" s="22" t="str">
        <f>"8119457815787"</f>
        <v>8119457815787</v>
      </c>
      <c r="G1039" s="75" t="str">
        <f>"৪৭৩"</f>
        <v>৪৭৩</v>
      </c>
      <c r="H1039" s="75" t="s">
        <v>319</v>
      </c>
      <c r="I1039" s="75" t="s">
        <v>319</v>
      </c>
      <c r="J1039" s="4"/>
    </row>
    <row r="1040" spans="1:10" x14ac:dyDescent="0.25">
      <c r="A1040" s="39">
        <v>1039</v>
      </c>
      <c r="B1040" s="3" t="s">
        <v>1931</v>
      </c>
      <c r="C1040" s="75" t="s">
        <v>2024</v>
      </c>
      <c r="D1040" s="75" t="s">
        <v>301</v>
      </c>
      <c r="E1040" s="75" t="str">
        <f>"০১৭৫৯৪৭৮৫৫৪"</f>
        <v>০১৭৫৯৪৭৮৫৫৪</v>
      </c>
      <c r="F1040" s="22" t="str">
        <f>"8119457815326"</f>
        <v>8119457815326</v>
      </c>
      <c r="G1040" s="75" t="str">
        <f>"৪৭২"</f>
        <v>৪৭২</v>
      </c>
      <c r="H1040" s="75" t="s">
        <v>315</v>
      </c>
      <c r="I1040" s="75" t="s">
        <v>315</v>
      </c>
      <c r="J1040" s="4"/>
    </row>
    <row r="1041" spans="1:10" x14ac:dyDescent="0.25">
      <c r="A1041" s="39">
        <v>1040</v>
      </c>
      <c r="B1041" s="3" t="s">
        <v>2657</v>
      </c>
      <c r="C1041" s="75" t="s">
        <v>2664</v>
      </c>
      <c r="D1041" s="75" t="s">
        <v>301</v>
      </c>
      <c r="E1041" s="75" t="str">
        <f t="shared" ref="E1041:E1057" si="12">"০"</f>
        <v>০</v>
      </c>
      <c r="F1041" s="22" t="str">
        <f>"8119457816794"</f>
        <v>8119457816794</v>
      </c>
      <c r="G1041" s="75" t="str">
        <f>"৪৭১"</f>
        <v>৪৭১</v>
      </c>
      <c r="H1041" s="75" t="s">
        <v>316</v>
      </c>
      <c r="I1041" s="75" t="s">
        <v>316</v>
      </c>
      <c r="J1041" s="4"/>
    </row>
    <row r="1042" spans="1:10" x14ac:dyDescent="0.25">
      <c r="A1042" s="39">
        <v>1041</v>
      </c>
      <c r="B1042" s="3" t="s">
        <v>2665</v>
      </c>
      <c r="C1042" s="75" t="s">
        <v>1933</v>
      </c>
      <c r="D1042" s="75" t="s">
        <v>301</v>
      </c>
      <c r="E1042" s="75" t="str">
        <f t="shared" si="12"/>
        <v>০</v>
      </c>
      <c r="F1042" s="22" t="str">
        <f>"8119457815630"</f>
        <v>8119457815630</v>
      </c>
      <c r="G1042" s="75" t="str">
        <f>"৪৭০"</f>
        <v>৪৭০</v>
      </c>
      <c r="H1042" s="75" t="s">
        <v>317</v>
      </c>
      <c r="I1042" s="75" t="s">
        <v>317</v>
      </c>
      <c r="J1042" s="4"/>
    </row>
    <row r="1043" spans="1:10" x14ac:dyDescent="0.25">
      <c r="A1043" s="39">
        <v>1042</v>
      </c>
      <c r="B1043" s="3" t="s">
        <v>2666</v>
      </c>
      <c r="C1043" s="75" t="s">
        <v>2608</v>
      </c>
      <c r="D1043" s="75" t="s">
        <v>301</v>
      </c>
      <c r="E1043" s="75" t="str">
        <f t="shared" si="12"/>
        <v>০</v>
      </c>
      <c r="F1043" s="22" t="str">
        <f>"8119457815996"</f>
        <v>8119457815996</v>
      </c>
      <c r="G1043" s="75" t="str">
        <f>"৪৬৯"</f>
        <v>৪৬৯</v>
      </c>
      <c r="H1043" s="75" t="s">
        <v>318</v>
      </c>
      <c r="I1043" s="75" t="s">
        <v>318</v>
      </c>
      <c r="J1043" s="4"/>
    </row>
    <row r="1044" spans="1:10" x14ac:dyDescent="0.25">
      <c r="A1044" s="39">
        <v>1043</v>
      </c>
      <c r="B1044" s="3" t="s">
        <v>2549</v>
      </c>
      <c r="C1044" s="75" t="s">
        <v>1975</v>
      </c>
      <c r="D1044" s="75" t="s">
        <v>301</v>
      </c>
      <c r="E1044" s="75" t="str">
        <f t="shared" si="12"/>
        <v>০</v>
      </c>
      <c r="F1044" s="22" t="str">
        <f>"8119457816037"</f>
        <v>8119457816037</v>
      </c>
      <c r="G1044" s="75" t="str">
        <f>"৪৬৮"</f>
        <v>৪৬৮</v>
      </c>
      <c r="H1044" s="75" t="s">
        <v>319</v>
      </c>
      <c r="I1044" s="75" t="s">
        <v>319</v>
      </c>
      <c r="J1044" s="4"/>
    </row>
    <row r="1045" spans="1:10" x14ac:dyDescent="0.25">
      <c r="A1045" s="39">
        <v>1044</v>
      </c>
      <c r="B1045" s="3" t="s">
        <v>1697</v>
      </c>
      <c r="C1045" s="75" t="s">
        <v>2667</v>
      </c>
      <c r="D1045" s="75" t="s">
        <v>301</v>
      </c>
      <c r="E1045" s="75" t="str">
        <f t="shared" si="12"/>
        <v>০</v>
      </c>
      <c r="F1045" s="22" t="str">
        <f>"8119457815806"</f>
        <v>8119457815806</v>
      </c>
      <c r="G1045" s="75" t="str">
        <f>"৪৬৭"</f>
        <v>৪৬৭</v>
      </c>
      <c r="H1045" s="75" t="s">
        <v>320</v>
      </c>
      <c r="I1045" s="75" t="s">
        <v>320</v>
      </c>
      <c r="J1045" s="4"/>
    </row>
    <row r="1046" spans="1:10" x14ac:dyDescent="0.25">
      <c r="A1046" s="39">
        <v>1045</v>
      </c>
      <c r="B1046" s="3" t="s">
        <v>2668</v>
      </c>
      <c r="C1046" s="75" t="s">
        <v>2669</v>
      </c>
      <c r="D1046" s="75" t="s">
        <v>301</v>
      </c>
      <c r="E1046" s="75" t="str">
        <f t="shared" si="12"/>
        <v>০</v>
      </c>
      <c r="F1046" s="22" t="str">
        <f>"8119457816441"</f>
        <v>8119457816441</v>
      </c>
      <c r="G1046" s="75" t="str">
        <f>"৪৬৬"</f>
        <v>৪৬৬</v>
      </c>
      <c r="H1046" s="75" t="s">
        <v>315</v>
      </c>
      <c r="I1046" s="75" t="s">
        <v>315</v>
      </c>
      <c r="J1046" s="4"/>
    </row>
    <row r="1047" spans="1:10" x14ac:dyDescent="0.25">
      <c r="A1047" s="39">
        <v>1046</v>
      </c>
      <c r="B1047" s="3" t="s">
        <v>2473</v>
      </c>
      <c r="C1047" s="75" t="s">
        <v>2670</v>
      </c>
      <c r="D1047" s="75" t="s">
        <v>301</v>
      </c>
      <c r="E1047" s="75" t="str">
        <f t="shared" si="12"/>
        <v>০</v>
      </c>
      <c r="F1047" s="22" t="str">
        <f>"8119457815499"</f>
        <v>8119457815499</v>
      </c>
      <c r="G1047" s="75" t="str">
        <f>"৪৬৫"</f>
        <v>৪৬৫</v>
      </c>
      <c r="H1047" s="75" t="s">
        <v>313</v>
      </c>
      <c r="I1047" s="75" t="s">
        <v>313</v>
      </c>
      <c r="J1047" s="4"/>
    </row>
    <row r="1048" spans="1:10" x14ac:dyDescent="0.25">
      <c r="A1048" s="39">
        <v>1047</v>
      </c>
      <c r="B1048" s="3" t="s">
        <v>2671</v>
      </c>
      <c r="C1048" s="75" t="s">
        <v>1782</v>
      </c>
      <c r="D1048" s="75" t="s">
        <v>301</v>
      </c>
      <c r="E1048" s="75" t="str">
        <f t="shared" si="12"/>
        <v>০</v>
      </c>
      <c r="F1048" s="22" t="str">
        <f>"8119457816240"</f>
        <v>8119457816240</v>
      </c>
      <c r="G1048" s="75" t="str">
        <f>"৪৬৪"</f>
        <v>৪৬৪</v>
      </c>
      <c r="H1048" s="75" t="s">
        <v>314</v>
      </c>
      <c r="I1048" s="75" t="s">
        <v>314</v>
      </c>
      <c r="J1048" s="4"/>
    </row>
    <row r="1049" spans="1:10" x14ac:dyDescent="0.25">
      <c r="A1049" s="39">
        <v>1048</v>
      </c>
      <c r="B1049" s="3" t="s">
        <v>2672</v>
      </c>
      <c r="C1049" s="75" t="s">
        <v>2673</v>
      </c>
      <c r="D1049" s="75" t="s">
        <v>301</v>
      </c>
      <c r="E1049" s="75" t="str">
        <f t="shared" si="12"/>
        <v>০</v>
      </c>
      <c r="F1049" s="22" t="str">
        <f>"8119457816504"</f>
        <v>8119457816504</v>
      </c>
      <c r="G1049" s="75" t="str">
        <f>"৪৬৩"</f>
        <v>৪৬৩</v>
      </c>
      <c r="H1049" s="75" t="s">
        <v>321</v>
      </c>
      <c r="I1049" s="75" t="s">
        <v>321</v>
      </c>
      <c r="J1049" s="4"/>
    </row>
    <row r="1050" spans="1:10" x14ac:dyDescent="0.25">
      <c r="A1050" s="39">
        <v>1049</v>
      </c>
      <c r="B1050" s="3" t="s">
        <v>2674</v>
      </c>
      <c r="C1050" s="75" t="s">
        <v>2675</v>
      </c>
      <c r="D1050" s="75" t="s">
        <v>301</v>
      </c>
      <c r="E1050" s="75" t="str">
        <f t="shared" si="12"/>
        <v>০</v>
      </c>
      <c r="F1050" s="22" t="str">
        <f>"8119457816486"</f>
        <v>8119457816486</v>
      </c>
      <c r="G1050" s="75" t="str">
        <f>"৪৬২"</f>
        <v>৪৬২</v>
      </c>
      <c r="H1050" s="75" t="s">
        <v>322</v>
      </c>
      <c r="I1050" s="75" t="s">
        <v>322</v>
      </c>
      <c r="J1050" s="4"/>
    </row>
    <row r="1051" spans="1:10" x14ac:dyDescent="0.25">
      <c r="A1051" s="39">
        <v>1050</v>
      </c>
      <c r="B1051" s="3" t="s">
        <v>2676</v>
      </c>
      <c r="C1051" s="75" t="s">
        <v>2677</v>
      </c>
      <c r="D1051" s="75" t="s">
        <v>301</v>
      </c>
      <c r="E1051" s="75" t="str">
        <f t="shared" si="12"/>
        <v>০</v>
      </c>
      <c r="F1051" s="22" t="str">
        <f>"8119457815854"</f>
        <v>8119457815854</v>
      </c>
      <c r="G1051" s="75" t="str">
        <f>"৪৬১"</f>
        <v>৪৬১</v>
      </c>
      <c r="H1051" s="75" t="s">
        <v>314</v>
      </c>
      <c r="I1051" s="75" t="s">
        <v>314</v>
      </c>
      <c r="J1051" s="4"/>
    </row>
    <row r="1052" spans="1:10" x14ac:dyDescent="0.25">
      <c r="A1052" s="39">
        <v>1051</v>
      </c>
      <c r="B1052" s="3" t="s">
        <v>2678</v>
      </c>
      <c r="C1052" s="75" t="s">
        <v>2679</v>
      </c>
      <c r="D1052" s="75" t="s">
        <v>301</v>
      </c>
      <c r="E1052" s="75" t="str">
        <f t="shared" si="12"/>
        <v>০</v>
      </c>
      <c r="F1052" s="22" t="str">
        <f>"8119457816291"</f>
        <v>8119457816291</v>
      </c>
      <c r="G1052" s="75" t="str">
        <f>"৪৬০"</f>
        <v>৪৬০</v>
      </c>
      <c r="H1052" s="75" t="s">
        <v>323</v>
      </c>
      <c r="I1052" s="75" t="s">
        <v>323</v>
      </c>
      <c r="J1052" s="4"/>
    </row>
    <row r="1053" spans="1:10" x14ac:dyDescent="0.25">
      <c r="A1053" s="39">
        <v>1052</v>
      </c>
      <c r="B1053" s="3" t="s">
        <v>2680</v>
      </c>
      <c r="C1053" s="75" t="s">
        <v>2091</v>
      </c>
      <c r="D1053" s="75" t="s">
        <v>301</v>
      </c>
      <c r="E1053" s="75" t="str">
        <f t="shared" si="12"/>
        <v>০</v>
      </c>
      <c r="F1053" s="22" t="str">
        <f>"8119457816127"</f>
        <v>8119457816127</v>
      </c>
      <c r="G1053" s="75" t="str">
        <f>"৪৫৯"</f>
        <v>৪৫৯</v>
      </c>
      <c r="H1053" s="75" t="s">
        <v>324</v>
      </c>
      <c r="I1053" s="75" t="s">
        <v>324</v>
      </c>
      <c r="J1053" s="4"/>
    </row>
    <row r="1054" spans="1:10" x14ac:dyDescent="0.25">
      <c r="A1054" s="39">
        <v>1053</v>
      </c>
      <c r="B1054" s="3" t="s">
        <v>2400</v>
      </c>
      <c r="C1054" s="75" t="s">
        <v>2681</v>
      </c>
      <c r="D1054" s="75" t="s">
        <v>301</v>
      </c>
      <c r="E1054" s="75" t="str">
        <f t="shared" si="12"/>
        <v>০</v>
      </c>
      <c r="F1054" s="22" t="str">
        <f>"8119457815994"</f>
        <v>8119457815994</v>
      </c>
      <c r="G1054" s="75" t="str">
        <f>"৪৫৮"</f>
        <v>৪৫৮</v>
      </c>
      <c r="H1054" s="75" t="s">
        <v>325</v>
      </c>
      <c r="I1054" s="75" t="s">
        <v>325</v>
      </c>
      <c r="J1054" s="4"/>
    </row>
    <row r="1055" spans="1:10" x14ac:dyDescent="0.25">
      <c r="A1055" s="39">
        <v>1054</v>
      </c>
      <c r="B1055" s="3" t="s">
        <v>2682</v>
      </c>
      <c r="C1055" s="75" t="s">
        <v>2683</v>
      </c>
      <c r="D1055" s="75" t="s">
        <v>301</v>
      </c>
      <c r="E1055" s="75" t="str">
        <f t="shared" si="12"/>
        <v>০</v>
      </c>
      <c r="F1055" s="22" t="str">
        <f>"8119457815095"</f>
        <v>8119457815095</v>
      </c>
      <c r="G1055" s="75" t="str">
        <f>"৪৫৭"</f>
        <v>৪৫৭</v>
      </c>
      <c r="H1055" s="75" t="s">
        <v>319</v>
      </c>
      <c r="I1055" s="75" t="s">
        <v>319</v>
      </c>
      <c r="J1055" s="4"/>
    </row>
    <row r="1056" spans="1:10" x14ac:dyDescent="0.25">
      <c r="A1056" s="39">
        <v>1055</v>
      </c>
      <c r="B1056" s="3" t="s">
        <v>1653</v>
      </c>
      <c r="C1056" s="75" t="s">
        <v>1785</v>
      </c>
      <c r="D1056" s="75" t="s">
        <v>301</v>
      </c>
      <c r="E1056" s="75" t="str">
        <f t="shared" si="12"/>
        <v>০</v>
      </c>
      <c r="F1056" s="22" t="str">
        <f>"8119457816198"</f>
        <v>8119457816198</v>
      </c>
      <c r="G1056" s="75" t="str">
        <f>"৪৫৬"</f>
        <v>৪৫৬</v>
      </c>
      <c r="H1056" s="75" t="s">
        <v>326</v>
      </c>
      <c r="I1056" s="75" t="s">
        <v>326</v>
      </c>
      <c r="J1056" s="4"/>
    </row>
    <row r="1057" spans="1:10" x14ac:dyDescent="0.25">
      <c r="A1057" s="39">
        <v>1056</v>
      </c>
      <c r="B1057" s="3" t="s">
        <v>1987</v>
      </c>
      <c r="C1057" s="75" t="s">
        <v>1933</v>
      </c>
      <c r="D1057" s="75" t="s">
        <v>301</v>
      </c>
      <c r="E1057" s="75" t="str">
        <f t="shared" si="12"/>
        <v>০</v>
      </c>
      <c r="F1057" s="22" t="str">
        <f>"8119457816797"</f>
        <v>8119457816797</v>
      </c>
      <c r="G1057" s="75" t="str">
        <f>"৪৫৫"</f>
        <v>৪৫৫</v>
      </c>
      <c r="H1057" s="75" t="s">
        <v>327</v>
      </c>
      <c r="I1057" s="75" t="s">
        <v>327</v>
      </c>
      <c r="J1057" s="4"/>
    </row>
    <row r="1058" spans="1:10" x14ac:dyDescent="0.25">
      <c r="A1058" s="39">
        <v>1057</v>
      </c>
      <c r="B1058" s="3" t="s">
        <v>2684</v>
      </c>
      <c r="C1058" s="75" t="s">
        <v>2685</v>
      </c>
      <c r="D1058" s="75" t="s">
        <v>301</v>
      </c>
      <c r="E1058" s="75" t="str">
        <f>"০১৭৬২৮৯৮৫৪৭"</f>
        <v>০১৭৬২৮৯৮৫৪৭</v>
      </c>
      <c r="F1058" s="22" t="str">
        <f>"8119457815265"</f>
        <v>8119457815265</v>
      </c>
      <c r="G1058" s="75" t="str">
        <f>"৪৫৪"</f>
        <v>৪৫৪</v>
      </c>
      <c r="H1058" s="75" t="s">
        <v>328</v>
      </c>
      <c r="I1058" s="75" t="s">
        <v>328</v>
      </c>
      <c r="J1058" s="4"/>
    </row>
    <row r="1059" spans="1:10" x14ac:dyDescent="0.25">
      <c r="A1059" s="39">
        <v>1058</v>
      </c>
      <c r="B1059" s="3" t="s">
        <v>2686</v>
      </c>
      <c r="C1059" s="75" t="s">
        <v>2687</v>
      </c>
      <c r="D1059" s="75" t="s">
        <v>301</v>
      </c>
      <c r="E1059" s="75" t="str">
        <f t="shared" ref="E1059:E1074" si="13">"০"</f>
        <v>০</v>
      </c>
      <c r="F1059" s="22" t="str">
        <f>"8119457815389"</f>
        <v>8119457815389</v>
      </c>
      <c r="G1059" s="75" t="str">
        <f>"৪৫৩"</f>
        <v>৪৫৩</v>
      </c>
      <c r="H1059" s="75" t="s">
        <v>329</v>
      </c>
      <c r="I1059" s="75" t="s">
        <v>329</v>
      </c>
      <c r="J1059" s="4"/>
    </row>
    <row r="1060" spans="1:10" x14ac:dyDescent="0.25">
      <c r="A1060" s="39">
        <v>1059</v>
      </c>
      <c r="B1060" s="3" t="s">
        <v>2688</v>
      </c>
      <c r="C1060" s="75" t="s">
        <v>2687</v>
      </c>
      <c r="D1060" s="75" t="s">
        <v>301</v>
      </c>
      <c r="E1060" s="75" t="str">
        <f t="shared" si="13"/>
        <v>০</v>
      </c>
      <c r="F1060" s="22" t="str">
        <f>"8119457815349"</f>
        <v>8119457815349</v>
      </c>
      <c r="G1060" s="75" t="str">
        <f>"৪৫২"</f>
        <v>৪৫২</v>
      </c>
      <c r="H1060" s="75" t="s">
        <v>330</v>
      </c>
      <c r="I1060" s="75" t="s">
        <v>330</v>
      </c>
      <c r="J1060" s="4"/>
    </row>
    <row r="1061" spans="1:10" x14ac:dyDescent="0.25">
      <c r="A1061" s="39">
        <v>1060</v>
      </c>
      <c r="B1061" s="3" t="s">
        <v>2185</v>
      </c>
      <c r="C1061" s="75" t="s">
        <v>1951</v>
      </c>
      <c r="D1061" s="75" t="s">
        <v>301</v>
      </c>
      <c r="E1061" s="75" t="str">
        <f t="shared" si="13"/>
        <v>০</v>
      </c>
      <c r="F1061" s="22" t="str">
        <f>"8119457815057"</f>
        <v>8119457815057</v>
      </c>
      <c r="G1061" s="75" t="str">
        <f>"৪৫১"</f>
        <v>৪৫১</v>
      </c>
      <c r="H1061" s="75" t="s">
        <v>319</v>
      </c>
      <c r="I1061" s="75" t="s">
        <v>319</v>
      </c>
      <c r="J1061" s="4"/>
    </row>
    <row r="1062" spans="1:10" x14ac:dyDescent="0.25">
      <c r="A1062" s="39">
        <v>1061</v>
      </c>
      <c r="B1062" s="3" t="s">
        <v>2689</v>
      </c>
      <c r="C1062" s="75" t="s">
        <v>2690</v>
      </c>
      <c r="D1062" s="75" t="s">
        <v>301</v>
      </c>
      <c r="E1062" s="75" t="str">
        <f t="shared" si="13"/>
        <v>০</v>
      </c>
      <c r="F1062" s="22" t="str">
        <f>"8119457816383"</f>
        <v>8119457816383</v>
      </c>
      <c r="G1062" s="75" t="str">
        <f>"৪৫০"</f>
        <v>৪৫০</v>
      </c>
      <c r="H1062" s="75" t="s">
        <v>317</v>
      </c>
      <c r="I1062" s="75" t="s">
        <v>317</v>
      </c>
      <c r="J1062" s="4"/>
    </row>
    <row r="1063" spans="1:10" x14ac:dyDescent="0.25">
      <c r="A1063" s="39">
        <v>1062</v>
      </c>
      <c r="B1063" s="3" t="s">
        <v>2691</v>
      </c>
      <c r="C1063" s="75" t="s">
        <v>2637</v>
      </c>
      <c r="D1063" s="75" t="s">
        <v>301</v>
      </c>
      <c r="E1063" s="75" t="str">
        <f t="shared" si="13"/>
        <v>০</v>
      </c>
      <c r="F1063" s="22" t="str">
        <f>"8119457816004"</f>
        <v>8119457816004</v>
      </c>
      <c r="G1063" s="75" t="str">
        <f>"৪৪৯"</f>
        <v>৪৪৯</v>
      </c>
      <c r="H1063" s="75" t="s">
        <v>323</v>
      </c>
      <c r="I1063" s="75" t="s">
        <v>323</v>
      </c>
      <c r="J1063" s="4"/>
    </row>
    <row r="1064" spans="1:10" x14ac:dyDescent="0.25">
      <c r="A1064" s="39">
        <v>1063</v>
      </c>
      <c r="B1064" s="3" t="s">
        <v>1563</v>
      </c>
      <c r="C1064" s="75" t="s">
        <v>2023</v>
      </c>
      <c r="D1064" s="75" t="s">
        <v>301</v>
      </c>
      <c r="E1064" s="75" t="str">
        <f t="shared" si="13"/>
        <v>০</v>
      </c>
      <c r="F1064" s="22" t="str">
        <f>"8119457815408"</f>
        <v>8119457815408</v>
      </c>
      <c r="G1064" s="75" t="str">
        <f>"৪৪৮"</f>
        <v>৪৪৮</v>
      </c>
      <c r="H1064" s="75" t="s">
        <v>326</v>
      </c>
      <c r="I1064" s="75" t="s">
        <v>326</v>
      </c>
      <c r="J1064" s="4"/>
    </row>
    <row r="1065" spans="1:10" x14ac:dyDescent="0.25">
      <c r="A1065" s="39">
        <v>1064</v>
      </c>
      <c r="B1065" s="3" t="s">
        <v>2692</v>
      </c>
      <c r="C1065" s="75" t="s">
        <v>1569</v>
      </c>
      <c r="D1065" s="75" t="s">
        <v>301</v>
      </c>
      <c r="E1065" s="75" t="str">
        <f t="shared" si="13"/>
        <v>০</v>
      </c>
      <c r="F1065" s="22" t="str">
        <f>"8119457815743"</f>
        <v>8119457815743</v>
      </c>
      <c r="G1065" s="75" t="str">
        <f>"৪৪৭"</f>
        <v>৪৪৭</v>
      </c>
      <c r="H1065" s="75" t="s">
        <v>331</v>
      </c>
      <c r="I1065" s="75" t="s">
        <v>331</v>
      </c>
      <c r="J1065" s="4"/>
    </row>
    <row r="1066" spans="1:10" x14ac:dyDescent="0.25">
      <c r="A1066" s="39">
        <v>1065</v>
      </c>
      <c r="B1066" s="3" t="s">
        <v>2693</v>
      </c>
      <c r="C1066" s="75" t="s">
        <v>2694</v>
      </c>
      <c r="D1066" s="75" t="s">
        <v>301</v>
      </c>
      <c r="E1066" s="75" t="str">
        <f t="shared" si="13"/>
        <v>০</v>
      </c>
      <c r="F1066" s="22" t="str">
        <f>"8119457815287"</f>
        <v>8119457815287</v>
      </c>
      <c r="G1066" s="75" t="str">
        <f>"৪৪৬"</f>
        <v>৪৪৬</v>
      </c>
      <c r="H1066" s="75" t="s">
        <v>329</v>
      </c>
      <c r="I1066" s="75" t="s">
        <v>329</v>
      </c>
      <c r="J1066" s="4"/>
    </row>
    <row r="1067" spans="1:10" x14ac:dyDescent="0.25">
      <c r="A1067" s="39">
        <v>1066</v>
      </c>
      <c r="B1067" s="3" t="s">
        <v>2695</v>
      </c>
      <c r="C1067" s="75" t="s">
        <v>2696</v>
      </c>
      <c r="D1067" s="75" t="s">
        <v>301</v>
      </c>
      <c r="E1067" s="75" t="str">
        <f t="shared" si="13"/>
        <v>০</v>
      </c>
      <c r="F1067" s="22" t="str">
        <f>"8119457816334"</f>
        <v>8119457816334</v>
      </c>
      <c r="G1067" s="75" t="str">
        <f>"৪৪৫"</f>
        <v>৪৪৫</v>
      </c>
      <c r="H1067" s="75" t="s">
        <v>332</v>
      </c>
      <c r="I1067" s="75" t="s">
        <v>332</v>
      </c>
      <c r="J1067" s="4"/>
    </row>
    <row r="1068" spans="1:10" x14ac:dyDescent="0.25">
      <c r="A1068" s="39">
        <v>1067</v>
      </c>
      <c r="B1068" s="3" t="s">
        <v>1637</v>
      </c>
      <c r="C1068" s="75" t="s">
        <v>2697</v>
      </c>
      <c r="D1068" s="75" t="s">
        <v>301</v>
      </c>
      <c r="E1068" s="75" t="str">
        <f t="shared" si="13"/>
        <v>০</v>
      </c>
      <c r="F1068" s="22" t="str">
        <f>"8119457816548"</f>
        <v>8119457816548</v>
      </c>
      <c r="G1068" s="75" t="str">
        <f>"৪৪৪"</f>
        <v>৪৪৪</v>
      </c>
      <c r="H1068" s="75" t="s">
        <v>316</v>
      </c>
      <c r="I1068" s="75" t="s">
        <v>316</v>
      </c>
      <c r="J1068" s="4"/>
    </row>
    <row r="1069" spans="1:10" x14ac:dyDescent="0.25">
      <c r="A1069" s="39">
        <v>1068</v>
      </c>
      <c r="B1069" s="3" t="s">
        <v>2698</v>
      </c>
      <c r="C1069" s="75" t="s">
        <v>2699</v>
      </c>
      <c r="D1069" s="75" t="s">
        <v>301</v>
      </c>
      <c r="E1069" s="75" t="str">
        <f t="shared" si="13"/>
        <v>০</v>
      </c>
      <c r="F1069" s="22" t="str">
        <f>"8119457815249"</f>
        <v>8119457815249</v>
      </c>
      <c r="G1069" s="75" t="str">
        <f>"৪৪৩"</f>
        <v>৪৪৩</v>
      </c>
      <c r="H1069" s="75" t="s">
        <v>330</v>
      </c>
      <c r="I1069" s="75" t="s">
        <v>330</v>
      </c>
      <c r="J1069" s="4"/>
    </row>
    <row r="1070" spans="1:10" x14ac:dyDescent="0.25">
      <c r="A1070" s="39">
        <v>1069</v>
      </c>
      <c r="B1070" s="3" t="s">
        <v>2536</v>
      </c>
      <c r="C1070" s="75" t="s">
        <v>2700</v>
      </c>
      <c r="D1070" s="75" t="s">
        <v>301</v>
      </c>
      <c r="E1070" s="75" t="str">
        <f t="shared" si="13"/>
        <v>০</v>
      </c>
      <c r="F1070" s="22" t="str">
        <f>"8119457815416"</f>
        <v>8119457815416</v>
      </c>
      <c r="G1070" s="75" t="str">
        <f>"৪৪২"</f>
        <v>৪৪২</v>
      </c>
      <c r="H1070" s="75" t="s">
        <v>333</v>
      </c>
      <c r="I1070" s="75" t="s">
        <v>333</v>
      </c>
      <c r="J1070" s="4"/>
    </row>
    <row r="1071" spans="1:10" x14ac:dyDescent="0.25">
      <c r="A1071" s="39">
        <v>1070</v>
      </c>
      <c r="B1071" s="3" t="s">
        <v>2701</v>
      </c>
      <c r="C1071" s="75" t="s">
        <v>1569</v>
      </c>
      <c r="D1071" s="75" t="s">
        <v>301</v>
      </c>
      <c r="E1071" s="75" t="str">
        <f t="shared" si="13"/>
        <v>০</v>
      </c>
      <c r="F1071" s="22" t="str">
        <f>"8119457816811"</f>
        <v>8119457816811</v>
      </c>
      <c r="G1071" s="75" t="str">
        <f>"৪৪১"</f>
        <v>৪৪১</v>
      </c>
      <c r="H1071" s="75" t="s">
        <v>319</v>
      </c>
      <c r="I1071" s="75" t="s">
        <v>319</v>
      </c>
      <c r="J1071" s="4"/>
    </row>
    <row r="1072" spans="1:10" x14ac:dyDescent="0.25">
      <c r="A1072" s="39">
        <v>1071</v>
      </c>
      <c r="B1072" s="3" t="s">
        <v>1672</v>
      </c>
      <c r="C1072" s="75" t="s">
        <v>1569</v>
      </c>
      <c r="D1072" s="75" t="s">
        <v>301</v>
      </c>
      <c r="E1072" s="75" t="str">
        <f t="shared" si="13"/>
        <v>০</v>
      </c>
      <c r="F1072" s="22" t="str">
        <f>"8119457815342"</f>
        <v>8119457815342</v>
      </c>
      <c r="G1072" s="75" t="str">
        <f>"৪৪০"</f>
        <v>৪৪০</v>
      </c>
      <c r="H1072" s="75" t="s">
        <v>322</v>
      </c>
      <c r="I1072" s="75" t="s">
        <v>322</v>
      </c>
      <c r="J1072" s="4"/>
    </row>
    <row r="1073" spans="1:10" x14ac:dyDescent="0.25">
      <c r="A1073" s="39">
        <v>1072</v>
      </c>
      <c r="B1073" s="3" t="s">
        <v>2702</v>
      </c>
      <c r="C1073" s="75" t="s">
        <v>1569</v>
      </c>
      <c r="D1073" s="75" t="s">
        <v>301</v>
      </c>
      <c r="E1073" s="75" t="str">
        <f t="shared" si="13"/>
        <v>০</v>
      </c>
      <c r="F1073" s="22" t="str">
        <f>"8119457816382"</f>
        <v>8119457816382</v>
      </c>
      <c r="G1073" s="75" t="str">
        <f>"৪৩৯"</f>
        <v>৪৩৯</v>
      </c>
      <c r="H1073" s="75" t="s">
        <v>319</v>
      </c>
      <c r="I1073" s="75" t="s">
        <v>319</v>
      </c>
      <c r="J1073" s="4"/>
    </row>
    <row r="1074" spans="1:10" x14ac:dyDescent="0.25">
      <c r="A1074" s="39">
        <v>1073</v>
      </c>
      <c r="B1074" s="3" t="s">
        <v>2703</v>
      </c>
      <c r="C1074" s="75" t="s">
        <v>2704</v>
      </c>
      <c r="D1074" s="75" t="s">
        <v>301</v>
      </c>
      <c r="E1074" s="75" t="str">
        <f t="shared" si="13"/>
        <v>০</v>
      </c>
      <c r="F1074" s="22" t="str">
        <f>"8119457815091"</f>
        <v>8119457815091</v>
      </c>
      <c r="G1074" s="75" t="str">
        <f>"৪৩৮"</f>
        <v>৪৩৮</v>
      </c>
      <c r="H1074" s="75" t="s">
        <v>313</v>
      </c>
      <c r="I1074" s="75" t="s">
        <v>313</v>
      </c>
      <c r="J1074" s="4"/>
    </row>
    <row r="1075" spans="1:10" x14ac:dyDescent="0.25">
      <c r="A1075" s="39">
        <v>1074</v>
      </c>
      <c r="B1075" s="3" t="s">
        <v>2005</v>
      </c>
      <c r="C1075" s="75" t="s">
        <v>2006</v>
      </c>
      <c r="D1075" s="75" t="s">
        <v>301</v>
      </c>
      <c r="E1075" s="75" t="str">
        <f>"০১৭১৬০৮০৬৭৭"</f>
        <v>০১৭১৬০৮০৬৭৭</v>
      </c>
      <c r="F1075" s="22" t="str">
        <f>"8119457816351"</f>
        <v>8119457816351</v>
      </c>
      <c r="G1075" s="75" t="str">
        <f>"৪৩৭"</f>
        <v>৪৩৭</v>
      </c>
      <c r="H1075" s="75" t="s">
        <v>314</v>
      </c>
      <c r="I1075" s="75" t="s">
        <v>314</v>
      </c>
      <c r="J1075" s="4"/>
    </row>
    <row r="1076" spans="1:10" x14ac:dyDescent="0.25">
      <c r="A1076" s="39">
        <v>1075</v>
      </c>
      <c r="B1076" s="3" t="s">
        <v>2007</v>
      </c>
      <c r="C1076" s="75" t="s">
        <v>2008</v>
      </c>
      <c r="D1076" s="75" t="s">
        <v>301</v>
      </c>
      <c r="E1076" s="75" t="str">
        <f>"০"</f>
        <v>০</v>
      </c>
      <c r="F1076" s="22" t="str">
        <f>"8119457816038"</f>
        <v>8119457816038</v>
      </c>
      <c r="G1076" s="75" t="str">
        <f>"৪৩৬"</f>
        <v>৪৩৬</v>
      </c>
      <c r="H1076" s="75" t="s">
        <v>315</v>
      </c>
      <c r="I1076" s="75" t="s">
        <v>315</v>
      </c>
      <c r="J1076" s="4"/>
    </row>
    <row r="1077" spans="1:10" x14ac:dyDescent="0.25">
      <c r="A1077" s="39">
        <v>1076</v>
      </c>
      <c r="B1077" s="3" t="s">
        <v>2009</v>
      </c>
      <c r="C1077" s="75" t="s">
        <v>1953</v>
      </c>
      <c r="D1077" s="75" t="s">
        <v>301</v>
      </c>
      <c r="E1077" s="75" t="str">
        <f>"০১৭৫৯২৬০৩০২"</f>
        <v>০১৭৫৯২৬০৩০২</v>
      </c>
      <c r="F1077" s="22" t="str">
        <f>"8119457815184"</f>
        <v>8119457815184</v>
      </c>
      <c r="G1077" s="75" t="str">
        <f>"৪৩৫"</f>
        <v>৪৩৫</v>
      </c>
      <c r="H1077" s="75" t="s">
        <v>316</v>
      </c>
      <c r="I1077" s="75" t="s">
        <v>316</v>
      </c>
      <c r="J1077" s="4"/>
    </row>
    <row r="1078" spans="1:10" x14ac:dyDescent="0.25">
      <c r="A1078" s="39">
        <v>1077</v>
      </c>
      <c r="B1078" s="3" t="s">
        <v>2010</v>
      </c>
      <c r="C1078" s="75" t="s">
        <v>2011</v>
      </c>
      <c r="D1078" s="75" t="s">
        <v>301</v>
      </c>
      <c r="E1078" s="75" t="str">
        <f>"০"</f>
        <v>০</v>
      </c>
      <c r="F1078" s="22" t="str">
        <f>"8119457815327"</f>
        <v>8119457815327</v>
      </c>
      <c r="G1078" s="75" t="str">
        <f>"৪৩৪"</f>
        <v>৪৩৪</v>
      </c>
      <c r="H1078" s="75" t="s">
        <v>317</v>
      </c>
      <c r="I1078" s="75" t="s">
        <v>317</v>
      </c>
      <c r="J1078" s="4"/>
    </row>
    <row r="1079" spans="1:10" x14ac:dyDescent="0.25">
      <c r="A1079" s="39">
        <v>1078</v>
      </c>
      <c r="B1079" s="3" t="s">
        <v>2705</v>
      </c>
      <c r="C1079" s="75" t="s">
        <v>2706</v>
      </c>
      <c r="D1079" s="75" t="s">
        <v>301</v>
      </c>
      <c r="E1079" s="75" t="str">
        <f>"০"</f>
        <v>০</v>
      </c>
      <c r="F1079" s="22" t="str">
        <f>"8119457815428"</f>
        <v>8119457815428</v>
      </c>
      <c r="G1079" s="75" t="str">
        <f>"৪৩৩"</f>
        <v>৪৩৩</v>
      </c>
      <c r="H1079" s="75" t="s">
        <v>318</v>
      </c>
      <c r="I1079" s="75" t="s">
        <v>318</v>
      </c>
      <c r="J1079" s="4"/>
    </row>
    <row r="1080" spans="1:10" x14ac:dyDescent="0.25">
      <c r="A1080" s="39">
        <v>1079</v>
      </c>
      <c r="B1080" s="3" t="s">
        <v>2013</v>
      </c>
      <c r="C1080" s="75" t="s">
        <v>2014</v>
      </c>
      <c r="D1080" s="75" t="s">
        <v>301</v>
      </c>
      <c r="E1080" s="75" t="str">
        <f>"০১৭৪৫৪২৫৫১১"</f>
        <v>০১৭৪৫৪২৫৫১১</v>
      </c>
      <c r="F1080" s="22" t="str">
        <f>"8119457815520"</f>
        <v>8119457815520</v>
      </c>
      <c r="G1080" s="75" t="str">
        <f>"৪৩২"</f>
        <v>৪৩২</v>
      </c>
      <c r="H1080" s="75" t="s">
        <v>319</v>
      </c>
      <c r="I1080" s="75" t="s">
        <v>319</v>
      </c>
      <c r="J1080" s="4"/>
    </row>
    <row r="1081" spans="1:10" x14ac:dyDescent="0.25">
      <c r="A1081" s="39">
        <v>1080</v>
      </c>
      <c r="B1081" s="3" t="s">
        <v>2707</v>
      </c>
      <c r="C1081" s="75" t="s">
        <v>1858</v>
      </c>
      <c r="D1081" s="75" t="s">
        <v>301</v>
      </c>
      <c r="E1081" s="75" t="str">
        <f t="shared" ref="E1081:E1087" si="14">"০"</f>
        <v>০</v>
      </c>
      <c r="F1081" s="22" t="str">
        <f>"8119457815828"</f>
        <v>8119457815828</v>
      </c>
      <c r="G1081" s="75" t="str">
        <f>"৪৩১"</f>
        <v>৪৩১</v>
      </c>
      <c r="H1081" s="75" t="s">
        <v>320</v>
      </c>
      <c r="I1081" s="75" t="s">
        <v>320</v>
      </c>
      <c r="J1081" s="4"/>
    </row>
    <row r="1082" spans="1:10" x14ac:dyDescent="0.25">
      <c r="A1082" s="39">
        <v>1081</v>
      </c>
      <c r="B1082" s="3" t="s">
        <v>1565</v>
      </c>
      <c r="C1082" s="75" t="s">
        <v>2707</v>
      </c>
      <c r="D1082" s="75" t="s">
        <v>301</v>
      </c>
      <c r="E1082" s="75" t="str">
        <f t="shared" si="14"/>
        <v>০</v>
      </c>
      <c r="F1082" s="22" t="str">
        <f>"8119457815813"</f>
        <v>8119457815813</v>
      </c>
      <c r="G1082" s="75" t="str">
        <f>"৪৩০"</f>
        <v>৪৩০</v>
      </c>
      <c r="H1082" s="75" t="s">
        <v>315</v>
      </c>
      <c r="I1082" s="75" t="s">
        <v>315</v>
      </c>
      <c r="J1082" s="4"/>
    </row>
    <row r="1083" spans="1:10" x14ac:dyDescent="0.25">
      <c r="A1083" s="39">
        <v>1082</v>
      </c>
      <c r="B1083" s="3" t="s">
        <v>2708</v>
      </c>
      <c r="C1083" s="75" t="s">
        <v>2709</v>
      </c>
      <c r="D1083" s="75" t="s">
        <v>301</v>
      </c>
      <c r="E1083" s="75" t="str">
        <f t="shared" si="14"/>
        <v>০</v>
      </c>
      <c r="F1083" s="22" t="str">
        <f>"8119457815787"</f>
        <v>8119457815787</v>
      </c>
      <c r="G1083" s="75" t="str">
        <f>"৪২৯"</f>
        <v>৪২৯</v>
      </c>
      <c r="H1083" s="75" t="s">
        <v>313</v>
      </c>
      <c r="I1083" s="75" t="s">
        <v>313</v>
      </c>
      <c r="J1083" s="4"/>
    </row>
    <row r="1084" spans="1:10" x14ac:dyDescent="0.25">
      <c r="A1084" s="39">
        <v>1083</v>
      </c>
      <c r="B1084" s="3" t="s">
        <v>2710</v>
      </c>
      <c r="C1084" s="75" t="s">
        <v>1876</v>
      </c>
      <c r="D1084" s="75" t="s">
        <v>301</v>
      </c>
      <c r="E1084" s="75" t="str">
        <f t="shared" si="14"/>
        <v>০</v>
      </c>
      <c r="F1084" s="22" t="str">
        <f>"8119457815326"</f>
        <v>8119457815326</v>
      </c>
      <c r="G1084" s="75" t="str">
        <f>"৪২৮"</f>
        <v>৪২৮</v>
      </c>
      <c r="H1084" s="75" t="s">
        <v>314</v>
      </c>
      <c r="I1084" s="75" t="s">
        <v>314</v>
      </c>
      <c r="J1084" s="4"/>
    </row>
    <row r="1085" spans="1:10" x14ac:dyDescent="0.25">
      <c r="A1085" s="39">
        <v>1084</v>
      </c>
      <c r="B1085" s="3" t="s">
        <v>2711</v>
      </c>
      <c r="C1085" s="75" t="s">
        <v>2712</v>
      </c>
      <c r="D1085" s="75" t="s">
        <v>301</v>
      </c>
      <c r="E1085" s="75" t="str">
        <f t="shared" si="14"/>
        <v>০</v>
      </c>
      <c r="F1085" s="22" t="str">
        <f>"8119457816794"</f>
        <v>8119457816794</v>
      </c>
      <c r="G1085" s="75" t="str">
        <f>"৪২৭"</f>
        <v>৪২৭</v>
      </c>
      <c r="H1085" s="75" t="s">
        <v>321</v>
      </c>
      <c r="I1085" s="75" t="s">
        <v>321</v>
      </c>
      <c r="J1085" s="4"/>
    </row>
    <row r="1086" spans="1:10" x14ac:dyDescent="0.25">
      <c r="A1086" s="39">
        <v>1085</v>
      </c>
      <c r="B1086" s="3" t="s">
        <v>2713</v>
      </c>
      <c r="C1086" s="75" t="s">
        <v>2714</v>
      </c>
      <c r="D1086" s="75" t="s">
        <v>301</v>
      </c>
      <c r="E1086" s="75" t="str">
        <f t="shared" si="14"/>
        <v>০</v>
      </c>
      <c r="F1086" s="22" t="str">
        <f>"8119457815630"</f>
        <v>8119457815630</v>
      </c>
      <c r="G1086" s="75" t="str">
        <f>"৪২৬"</f>
        <v>৪২৬</v>
      </c>
      <c r="H1086" s="75" t="s">
        <v>322</v>
      </c>
      <c r="I1086" s="75" t="s">
        <v>322</v>
      </c>
      <c r="J1086" s="4"/>
    </row>
    <row r="1087" spans="1:10" x14ac:dyDescent="0.25">
      <c r="A1087" s="39">
        <v>1086</v>
      </c>
      <c r="B1087" s="3" t="s">
        <v>2715</v>
      </c>
      <c r="C1087" s="75" t="s">
        <v>2011</v>
      </c>
      <c r="D1087" s="75" t="s">
        <v>301</v>
      </c>
      <c r="E1087" s="75" t="str">
        <f t="shared" si="14"/>
        <v>০</v>
      </c>
      <c r="F1087" s="22" t="str">
        <f>"8119457815996"</f>
        <v>8119457815996</v>
      </c>
      <c r="G1087" s="75" t="str">
        <f>"৪২৫"</f>
        <v>৪২৫</v>
      </c>
      <c r="H1087" s="75" t="s">
        <v>314</v>
      </c>
      <c r="I1087" s="75" t="s">
        <v>314</v>
      </c>
      <c r="J1087" s="4"/>
    </row>
    <row r="1088" spans="1:10" x14ac:dyDescent="0.25">
      <c r="A1088" s="39">
        <v>1087</v>
      </c>
      <c r="B1088" s="3" t="s">
        <v>2000</v>
      </c>
      <c r="C1088" s="75" t="s">
        <v>2019</v>
      </c>
      <c r="D1088" s="75" t="s">
        <v>301</v>
      </c>
      <c r="E1088" s="75" t="str">
        <f>"০১৮৬১৩১৫৪১৩"</f>
        <v>০১৮৬১৩১৫৪১৩</v>
      </c>
      <c r="F1088" s="22" t="str">
        <f>"8119457816037"</f>
        <v>8119457816037</v>
      </c>
      <c r="G1088" s="75" t="str">
        <f>"৪২৪"</f>
        <v>৪২৪</v>
      </c>
      <c r="H1088" s="75" t="s">
        <v>323</v>
      </c>
      <c r="I1088" s="75" t="s">
        <v>323</v>
      </c>
      <c r="J1088" s="4"/>
    </row>
    <row r="1089" spans="1:10" x14ac:dyDescent="0.25">
      <c r="A1089" s="39">
        <v>1088</v>
      </c>
      <c r="B1089" s="3" t="s">
        <v>2020</v>
      </c>
      <c r="C1089" s="75" t="s">
        <v>2021</v>
      </c>
      <c r="D1089" s="75" t="s">
        <v>301</v>
      </c>
      <c r="E1089" s="75" t="str">
        <f>"০১৭২৪৯৮২৮৮৮"</f>
        <v>০১৭২৪৯৮২৮৮৮</v>
      </c>
      <c r="F1089" s="22" t="str">
        <f>"8119457815806"</f>
        <v>8119457815806</v>
      </c>
      <c r="G1089" s="75" t="str">
        <f>"৪২৩"</f>
        <v>৪২৩</v>
      </c>
      <c r="H1089" s="75" t="s">
        <v>324</v>
      </c>
      <c r="I1089" s="75" t="s">
        <v>324</v>
      </c>
      <c r="J1089" s="4"/>
    </row>
    <row r="1090" spans="1:10" x14ac:dyDescent="0.25">
      <c r="A1090" s="39">
        <v>1089</v>
      </c>
      <c r="B1090" s="3" t="s">
        <v>1876</v>
      </c>
      <c r="C1090" s="75" t="s">
        <v>2716</v>
      </c>
      <c r="D1090" s="75" t="s">
        <v>301</v>
      </c>
      <c r="E1090" s="75" t="str">
        <f t="shared" ref="E1090:E1104" si="15">"০"</f>
        <v>০</v>
      </c>
      <c r="F1090" s="22" t="str">
        <f>"8119457816441"</f>
        <v>8119457816441</v>
      </c>
      <c r="G1090" s="75" t="str">
        <f>"৪২২"</f>
        <v>৪২২</v>
      </c>
      <c r="H1090" s="75" t="s">
        <v>325</v>
      </c>
      <c r="I1090" s="75" t="s">
        <v>325</v>
      </c>
      <c r="J1090" s="4"/>
    </row>
    <row r="1091" spans="1:10" x14ac:dyDescent="0.25">
      <c r="A1091" s="39">
        <v>1090</v>
      </c>
      <c r="B1091" s="3" t="s">
        <v>2587</v>
      </c>
      <c r="C1091" s="75" t="s">
        <v>2717</v>
      </c>
      <c r="D1091" s="75" t="s">
        <v>301</v>
      </c>
      <c r="E1091" s="75" t="str">
        <f t="shared" si="15"/>
        <v>০</v>
      </c>
      <c r="F1091" s="22" t="str">
        <f>"8119457816040"</f>
        <v>8119457816040</v>
      </c>
      <c r="G1091" s="75" t="str">
        <f>"৪২১"</f>
        <v>৪২১</v>
      </c>
      <c r="H1091" s="75" t="s">
        <v>319</v>
      </c>
      <c r="I1091" s="75" t="s">
        <v>319</v>
      </c>
      <c r="J1091" s="4"/>
    </row>
    <row r="1092" spans="1:10" x14ac:dyDescent="0.25">
      <c r="A1092" s="39">
        <v>1091</v>
      </c>
      <c r="B1092" s="3" t="s">
        <v>1823</v>
      </c>
      <c r="C1092" s="75" t="s">
        <v>2637</v>
      </c>
      <c r="D1092" s="75" t="s">
        <v>301</v>
      </c>
      <c r="E1092" s="75" t="str">
        <f t="shared" si="15"/>
        <v>০</v>
      </c>
      <c r="F1092" s="22" t="str">
        <f>"8119457815715"</f>
        <v>8119457815715</v>
      </c>
      <c r="G1092" s="75" t="str">
        <f>"৪২০"</f>
        <v>৪২০</v>
      </c>
      <c r="H1092" s="75" t="s">
        <v>326</v>
      </c>
      <c r="I1092" s="75" t="s">
        <v>326</v>
      </c>
      <c r="J1092" s="4"/>
    </row>
    <row r="1093" spans="1:10" x14ac:dyDescent="0.25">
      <c r="A1093" s="39">
        <v>1092</v>
      </c>
      <c r="B1093" s="3" t="s">
        <v>2718</v>
      </c>
      <c r="C1093" s="75" t="s">
        <v>2719</v>
      </c>
      <c r="D1093" s="75" t="s">
        <v>301</v>
      </c>
      <c r="E1093" s="75" t="str">
        <f t="shared" si="15"/>
        <v>০</v>
      </c>
      <c r="F1093" s="22" t="str">
        <f>"8119457815618"</f>
        <v>8119457815618</v>
      </c>
      <c r="G1093" s="75" t="str">
        <f>"৪১৯"</f>
        <v>৪১৯</v>
      </c>
      <c r="H1093" s="75" t="s">
        <v>327</v>
      </c>
      <c r="I1093" s="75" t="s">
        <v>327</v>
      </c>
      <c r="J1093" s="4"/>
    </row>
    <row r="1094" spans="1:10" x14ac:dyDescent="0.25">
      <c r="A1094" s="39">
        <v>1093</v>
      </c>
      <c r="B1094" s="3" t="s">
        <v>2720</v>
      </c>
      <c r="C1094" s="75" t="s">
        <v>2721</v>
      </c>
      <c r="D1094" s="75" t="s">
        <v>301</v>
      </c>
      <c r="E1094" s="75" t="str">
        <f t="shared" si="15"/>
        <v>০</v>
      </c>
      <c r="F1094" s="22" t="str">
        <f>"8119457815348"</f>
        <v>8119457815348</v>
      </c>
      <c r="G1094" s="75" t="str">
        <f>"৪১৮"</f>
        <v>৪১৮</v>
      </c>
      <c r="H1094" s="75" t="s">
        <v>328</v>
      </c>
      <c r="I1094" s="75" t="s">
        <v>328</v>
      </c>
      <c r="J1094" s="4"/>
    </row>
    <row r="1095" spans="1:10" x14ac:dyDescent="0.25">
      <c r="A1095" s="39">
        <v>1094</v>
      </c>
      <c r="B1095" s="3" t="s">
        <v>2722</v>
      </c>
      <c r="C1095" s="75" t="s">
        <v>2723</v>
      </c>
      <c r="D1095" s="75" t="s">
        <v>301</v>
      </c>
      <c r="E1095" s="75" t="str">
        <f t="shared" si="15"/>
        <v>০</v>
      </c>
      <c r="F1095" s="22" t="str">
        <f>"8119457816405"</f>
        <v>8119457816405</v>
      </c>
      <c r="G1095" s="75" t="str">
        <f>"৪১৭"</f>
        <v>৪১৭</v>
      </c>
      <c r="H1095" s="75" t="s">
        <v>329</v>
      </c>
      <c r="I1095" s="75" t="s">
        <v>329</v>
      </c>
      <c r="J1095" s="4"/>
    </row>
    <row r="1096" spans="1:10" x14ac:dyDescent="0.25">
      <c r="A1096" s="39">
        <v>1095</v>
      </c>
      <c r="B1096" s="3" t="s">
        <v>1653</v>
      </c>
      <c r="C1096" s="75" t="s">
        <v>2724</v>
      </c>
      <c r="D1096" s="75" t="s">
        <v>301</v>
      </c>
      <c r="E1096" s="75" t="str">
        <f t="shared" si="15"/>
        <v>০</v>
      </c>
      <c r="F1096" s="22" t="str">
        <f>"8119457816489"</f>
        <v>8119457816489</v>
      </c>
      <c r="G1096" s="75" t="str">
        <f>"৪১৬"</f>
        <v>৪১৬</v>
      </c>
      <c r="H1096" s="75" t="s">
        <v>330</v>
      </c>
      <c r="I1096" s="75" t="s">
        <v>330</v>
      </c>
      <c r="J1096" s="4"/>
    </row>
    <row r="1097" spans="1:10" x14ac:dyDescent="0.25">
      <c r="A1097" s="39">
        <v>1096</v>
      </c>
      <c r="B1097" s="3" t="s">
        <v>2725</v>
      </c>
      <c r="C1097" s="75" t="s">
        <v>2726</v>
      </c>
      <c r="D1097" s="75" t="s">
        <v>301</v>
      </c>
      <c r="E1097" s="75" t="str">
        <f t="shared" si="15"/>
        <v>০</v>
      </c>
      <c r="F1097" s="23" t="str">
        <f>"8119457815530"</f>
        <v>8119457815530</v>
      </c>
      <c r="G1097" s="75" t="str">
        <f>"৪১৫"</f>
        <v>৪১৫</v>
      </c>
      <c r="H1097" s="75" t="s">
        <v>319</v>
      </c>
      <c r="I1097" s="75" t="s">
        <v>319</v>
      </c>
      <c r="J1097" s="4"/>
    </row>
    <row r="1098" spans="1:10" x14ac:dyDescent="0.25">
      <c r="A1098" s="39">
        <v>1097</v>
      </c>
      <c r="B1098" s="3" t="s">
        <v>2072</v>
      </c>
      <c r="C1098" s="75" t="s">
        <v>2608</v>
      </c>
      <c r="D1098" s="75" t="s">
        <v>301</v>
      </c>
      <c r="E1098" s="75" t="str">
        <f t="shared" si="15"/>
        <v>০</v>
      </c>
      <c r="F1098" s="22" t="str">
        <f>"8119457815788"</f>
        <v>8119457815788</v>
      </c>
      <c r="G1098" s="75" t="str">
        <f>"৪১৪"</f>
        <v>৪১৪</v>
      </c>
      <c r="H1098" s="75" t="s">
        <v>317</v>
      </c>
      <c r="I1098" s="75" t="s">
        <v>317</v>
      </c>
      <c r="J1098" s="4"/>
    </row>
    <row r="1099" spans="1:10" x14ac:dyDescent="0.25">
      <c r="A1099" s="39">
        <v>1098</v>
      </c>
      <c r="B1099" s="3" t="s">
        <v>2111</v>
      </c>
      <c r="C1099" s="75" t="s">
        <v>1870</v>
      </c>
      <c r="D1099" s="75" t="s">
        <v>301</v>
      </c>
      <c r="E1099" s="75" t="str">
        <f t="shared" si="15"/>
        <v>০</v>
      </c>
      <c r="F1099" s="22" t="str">
        <f>"8119457815165"</f>
        <v>8119457815165</v>
      </c>
      <c r="G1099" s="75" t="str">
        <f>"৪১৩"</f>
        <v>৪১৩</v>
      </c>
      <c r="H1099" s="75" t="s">
        <v>323</v>
      </c>
      <c r="I1099" s="75" t="s">
        <v>323</v>
      </c>
      <c r="J1099" s="4"/>
    </row>
    <row r="1100" spans="1:10" x14ac:dyDescent="0.25">
      <c r="A1100" s="39">
        <v>1099</v>
      </c>
      <c r="B1100" s="3" t="s">
        <v>2055</v>
      </c>
      <c r="C1100" s="75" t="s">
        <v>2727</v>
      </c>
      <c r="D1100" s="75" t="s">
        <v>301</v>
      </c>
      <c r="E1100" s="75" t="str">
        <f t="shared" si="15"/>
        <v>০</v>
      </c>
      <c r="F1100" s="22" t="str">
        <f>"8119457815171"</f>
        <v>8119457815171</v>
      </c>
      <c r="G1100" s="75" t="str">
        <f>"৪১২"</f>
        <v>৪১২</v>
      </c>
      <c r="H1100" s="75" t="s">
        <v>326</v>
      </c>
      <c r="I1100" s="75" t="s">
        <v>326</v>
      </c>
      <c r="J1100" s="4"/>
    </row>
    <row r="1101" spans="1:10" x14ac:dyDescent="0.25">
      <c r="A1101" s="39">
        <v>1100</v>
      </c>
      <c r="B1101" s="3" t="s">
        <v>2728</v>
      </c>
      <c r="C1101" s="75" t="s">
        <v>2729</v>
      </c>
      <c r="D1101" s="75" t="s">
        <v>304</v>
      </c>
      <c r="E1101" s="75" t="str">
        <f t="shared" si="15"/>
        <v>০</v>
      </c>
      <c r="F1101" s="22" t="str">
        <f>"8119457816215"</f>
        <v>8119457816215</v>
      </c>
      <c r="G1101" s="75" t="str">
        <f>"৪১১"</f>
        <v>৪১১</v>
      </c>
      <c r="H1101" s="75" t="s">
        <v>331</v>
      </c>
      <c r="I1101" s="75" t="s">
        <v>331</v>
      </c>
      <c r="J1101" s="4"/>
    </row>
    <row r="1102" spans="1:10" x14ac:dyDescent="0.25">
      <c r="A1102" s="39">
        <v>1101</v>
      </c>
      <c r="B1102" s="3" t="s">
        <v>2730</v>
      </c>
      <c r="C1102" s="75" t="s">
        <v>2731</v>
      </c>
      <c r="D1102" s="75" t="s">
        <v>301</v>
      </c>
      <c r="E1102" s="75" t="str">
        <f t="shared" si="15"/>
        <v>০</v>
      </c>
      <c r="F1102" s="22" t="str">
        <f>"8119457816496"</f>
        <v>8119457816496</v>
      </c>
      <c r="G1102" s="75" t="str">
        <f>"৪১০"</f>
        <v>৪১০</v>
      </c>
      <c r="H1102" s="75" t="s">
        <v>329</v>
      </c>
      <c r="I1102" s="75" t="s">
        <v>329</v>
      </c>
      <c r="J1102" s="4"/>
    </row>
    <row r="1103" spans="1:10" x14ac:dyDescent="0.25">
      <c r="A1103" s="39">
        <v>1102</v>
      </c>
      <c r="B1103" s="3" t="s">
        <v>2732</v>
      </c>
      <c r="C1103" s="75" t="s">
        <v>2573</v>
      </c>
      <c r="D1103" s="75" t="s">
        <v>301</v>
      </c>
      <c r="E1103" s="75" t="str">
        <f t="shared" si="15"/>
        <v>০</v>
      </c>
      <c r="F1103" s="22" t="str">
        <f>"8119457815550"</f>
        <v>8119457815550</v>
      </c>
      <c r="G1103" s="75" t="str">
        <f>"৪০৯"</f>
        <v>৪০৯</v>
      </c>
      <c r="H1103" s="75" t="s">
        <v>332</v>
      </c>
      <c r="I1103" s="75" t="s">
        <v>332</v>
      </c>
      <c r="J1103" s="4"/>
    </row>
    <row r="1104" spans="1:10" x14ac:dyDescent="0.25">
      <c r="A1104" s="39">
        <v>1103</v>
      </c>
      <c r="B1104" s="3" t="s">
        <v>2733</v>
      </c>
      <c r="C1104" s="75" t="s">
        <v>2573</v>
      </c>
      <c r="D1104" s="75" t="s">
        <v>301</v>
      </c>
      <c r="E1104" s="75" t="str">
        <f t="shared" si="15"/>
        <v>০</v>
      </c>
      <c r="F1104" s="22" t="str">
        <f>"8119457815933"</f>
        <v>8119457815933</v>
      </c>
      <c r="G1104" s="75" t="str">
        <f>"৪০৮"</f>
        <v>৪০৮</v>
      </c>
      <c r="H1104" s="75" t="s">
        <v>316</v>
      </c>
      <c r="I1104" s="75" t="s">
        <v>316</v>
      </c>
      <c r="J1104" s="4"/>
    </row>
    <row r="1105" spans="1:10" x14ac:dyDescent="0.25">
      <c r="A1105" s="39">
        <v>1104</v>
      </c>
      <c r="B1105" s="3" t="s">
        <v>1968</v>
      </c>
      <c r="C1105" s="75" t="s">
        <v>1969</v>
      </c>
      <c r="D1105" s="75" t="s">
        <v>301</v>
      </c>
      <c r="E1105" s="75" t="str">
        <f>"০১৭৫৮৪৩১২৪১"</f>
        <v>০১৭৫৮৪৩১২৪১</v>
      </c>
      <c r="F1105" s="22" t="str">
        <f>"8119457816098"</f>
        <v>8119457816098</v>
      </c>
      <c r="G1105" s="75" t="str">
        <f>"৪০৭"</f>
        <v>৪০৭</v>
      </c>
      <c r="H1105" s="75" t="s">
        <v>330</v>
      </c>
      <c r="I1105" s="75" t="s">
        <v>330</v>
      </c>
      <c r="J1105" s="4"/>
    </row>
    <row r="1106" spans="1:10" x14ac:dyDescent="0.25">
      <c r="A1106" s="39">
        <v>1105</v>
      </c>
      <c r="B1106" s="3" t="s">
        <v>1970</v>
      </c>
      <c r="C1106" s="75" t="s">
        <v>1971</v>
      </c>
      <c r="D1106" s="75" t="s">
        <v>300</v>
      </c>
      <c r="E1106" s="75" t="str">
        <f>"০"</f>
        <v>০</v>
      </c>
      <c r="F1106" s="22" t="str">
        <f>"8119457815958"</f>
        <v>8119457815958</v>
      </c>
      <c r="G1106" s="75" t="str">
        <f>"৪০৬"</f>
        <v>৪০৬</v>
      </c>
      <c r="H1106" s="75" t="s">
        <v>333</v>
      </c>
      <c r="I1106" s="75" t="s">
        <v>333</v>
      </c>
      <c r="J1106" s="4"/>
    </row>
    <row r="1107" spans="1:10" x14ac:dyDescent="0.25">
      <c r="A1107" s="39">
        <v>1106</v>
      </c>
      <c r="B1107" s="3" t="s">
        <v>1972</v>
      </c>
      <c r="C1107" s="75" t="s">
        <v>1973</v>
      </c>
      <c r="D1107" s="75" t="s">
        <v>301</v>
      </c>
      <c r="E1107" s="75" t="str">
        <f>"০"</f>
        <v>০</v>
      </c>
      <c r="F1107" s="22" t="str">
        <f>"8119457815793"</f>
        <v>8119457815793</v>
      </c>
      <c r="G1107" s="75" t="str">
        <f>"৪০৫"</f>
        <v>৪০৫</v>
      </c>
      <c r="H1107" s="75" t="s">
        <v>319</v>
      </c>
      <c r="I1107" s="75" t="s">
        <v>319</v>
      </c>
      <c r="J1107" s="4"/>
    </row>
    <row r="1108" spans="1:10" x14ac:dyDescent="0.25">
      <c r="A1108" s="39">
        <v>1107</v>
      </c>
      <c r="B1108" s="3" t="s">
        <v>1974</v>
      </c>
      <c r="C1108" s="75" t="s">
        <v>1975</v>
      </c>
      <c r="D1108" s="75" t="s">
        <v>304</v>
      </c>
      <c r="E1108" s="75" t="str">
        <f>"০"</f>
        <v>০</v>
      </c>
      <c r="F1108" s="22" t="str">
        <f>"8119457815069"</f>
        <v>8119457815069</v>
      </c>
      <c r="G1108" s="75" t="str">
        <f>"৪০৪"</f>
        <v>৪০৪</v>
      </c>
      <c r="H1108" s="75" t="s">
        <v>322</v>
      </c>
      <c r="I1108" s="75" t="s">
        <v>322</v>
      </c>
      <c r="J1108" s="4"/>
    </row>
    <row r="1109" spans="1:10" x14ac:dyDescent="0.25">
      <c r="A1109" s="39">
        <v>1108</v>
      </c>
      <c r="B1109" s="3" t="s">
        <v>1976</v>
      </c>
      <c r="C1109" s="75" t="s">
        <v>1672</v>
      </c>
      <c r="D1109" s="75" t="s">
        <v>301</v>
      </c>
      <c r="E1109" s="75" t="str">
        <f>"০১৮৫৪৭৭৪২১৭"</f>
        <v>০১৮৫৪৭৭৪২১৭</v>
      </c>
      <c r="F1109" s="22" t="str">
        <f>"8119457815360"</f>
        <v>8119457815360</v>
      </c>
      <c r="G1109" s="75" t="str">
        <f>"৪০৩"</f>
        <v>৪০৩</v>
      </c>
      <c r="H1109" s="75" t="s">
        <v>319</v>
      </c>
      <c r="I1109" s="75" t="s">
        <v>319</v>
      </c>
      <c r="J1109" s="4"/>
    </row>
    <row r="1110" spans="1:10" x14ac:dyDescent="0.25">
      <c r="A1110" s="39">
        <v>1109</v>
      </c>
      <c r="B1110" s="3" t="s">
        <v>1977</v>
      </c>
      <c r="C1110" s="75" t="s">
        <v>1978</v>
      </c>
      <c r="D1110" s="75" t="s">
        <v>300</v>
      </c>
      <c r="E1110" s="75" t="str">
        <f>"০"</f>
        <v>০</v>
      </c>
      <c r="F1110" s="22" t="str">
        <f>"8119457815236"</f>
        <v>8119457815236</v>
      </c>
      <c r="G1110" s="75" t="str">
        <f>"৪০২"</f>
        <v>৪০২</v>
      </c>
      <c r="H1110" s="75" t="s">
        <v>315</v>
      </c>
      <c r="I1110" s="75" t="s">
        <v>315</v>
      </c>
      <c r="J1110" s="4"/>
    </row>
    <row r="1111" spans="1:10" x14ac:dyDescent="0.25">
      <c r="A1111" s="39">
        <v>1110</v>
      </c>
      <c r="B1111" s="3" t="s">
        <v>1979</v>
      </c>
      <c r="C1111" s="75" t="s">
        <v>1980</v>
      </c>
      <c r="D1111" s="75" t="s">
        <v>301</v>
      </c>
      <c r="E1111" s="75" t="str">
        <f>"০১৭৪০৯৬১৪২৮"</f>
        <v>০১৭৪০৯৬১৪২৮</v>
      </c>
      <c r="F1111" s="22" t="str">
        <f>"8119457816157"</f>
        <v>8119457816157</v>
      </c>
      <c r="G1111" s="75" t="str">
        <f>"৪০১"</f>
        <v>৪০১</v>
      </c>
      <c r="H1111" s="75" t="s">
        <v>316</v>
      </c>
      <c r="I1111" s="75" t="s">
        <v>316</v>
      </c>
      <c r="J1111" s="4"/>
    </row>
    <row r="1112" spans="1:10" x14ac:dyDescent="0.25">
      <c r="A1112" s="39">
        <v>1111</v>
      </c>
      <c r="B1112" s="3" t="s">
        <v>1981</v>
      </c>
      <c r="C1112" s="75" t="s">
        <v>1677</v>
      </c>
      <c r="D1112" s="75" t="s">
        <v>305</v>
      </c>
      <c r="E1112" s="75" t="str">
        <f>"০"</f>
        <v>০</v>
      </c>
      <c r="F1112" s="22" t="str">
        <f>"8119457815575"</f>
        <v>8119457815575</v>
      </c>
      <c r="G1112" s="75" t="str">
        <f>"৪০০"</f>
        <v>৪০০</v>
      </c>
      <c r="H1112" s="75" t="s">
        <v>317</v>
      </c>
      <c r="I1112" s="75" t="s">
        <v>317</v>
      </c>
      <c r="J1112" s="4"/>
    </row>
    <row r="1113" spans="1:10" x14ac:dyDescent="0.25">
      <c r="A1113" s="39">
        <v>1112</v>
      </c>
      <c r="B1113" s="3" t="s">
        <v>1982</v>
      </c>
      <c r="C1113" s="75" t="s">
        <v>1983</v>
      </c>
      <c r="D1113" s="75" t="s">
        <v>301</v>
      </c>
      <c r="E1113" s="75" t="str">
        <f>"০১৭২৪৫৬৪৭৫৪"</f>
        <v>০১৭২৪৫৬৪৭৫৪</v>
      </c>
      <c r="F1113" s="22" t="str">
        <f>"8119457811283"</f>
        <v>8119457811283</v>
      </c>
      <c r="G1113" s="75" t="str">
        <f>"৩৯৯"</f>
        <v>৩৯৯</v>
      </c>
      <c r="H1113" s="75" t="s">
        <v>318</v>
      </c>
      <c r="I1113" s="75" t="s">
        <v>318</v>
      </c>
      <c r="J1113" s="4"/>
    </row>
    <row r="1114" spans="1:10" x14ac:dyDescent="0.25">
      <c r="A1114" s="39">
        <v>1113</v>
      </c>
      <c r="B1114" s="3" t="s">
        <v>1984</v>
      </c>
      <c r="C1114" s="75" t="s">
        <v>1985</v>
      </c>
      <c r="D1114" s="75" t="s">
        <v>301</v>
      </c>
      <c r="E1114" s="75" t="str">
        <f>"০"</f>
        <v>০</v>
      </c>
      <c r="F1114" s="22" t="str">
        <f>"8119457815522"</f>
        <v>8119457815522</v>
      </c>
      <c r="G1114" s="75" t="str">
        <f>"৩৯৮"</f>
        <v>৩৯৮</v>
      </c>
      <c r="H1114" s="75" t="s">
        <v>319</v>
      </c>
      <c r="I1114" s="75" t="s">
        <v>319</v>
      </c>
      <c r="J1114" s="4"/>
    </row>
    <row r="1115" spans="1:10" x14ac:dyDescent="0.25">
      <c r="A1115" s="39">
        <v>1114</v>
      </c>
      <c r="B1115" s="3" t="s">
        <v>1986</v>
      </c>
      <c r="C1115" s="75" t="s">
        <v>1987</v>
      </c>
      <c r="D1115" s="75" t="s">
        <v>301</v>
      </c>
      <c r="E1115" s="75" t="str">
        <f>"০"</f>
        <v>০</v>
      </c>
      <c r="F1115" s="22" t="str">
        <f>"8119457815799"</f>
        <v>8119457815799</v>
      </c>
      <c r="G1115" s="75" t="str">
        <f>"৩৯৭"</f>
        <v>৩৯৭</v>
      </c>
      <c r="H1115" s="75" t="s">
        <v>320</v>
      </c>
      <c r="I1115" s="75" t="s">
        <v>320</v>
      </c>
      <c r="J1115" s="4"/>
    </row>
    <row r="1116" spans="1:10" x14ac:dyDescent="0.25">
      <c r="A1116" s="39">
        <v>1115</v>
      </c>
      <c r="B1116" s="3" t="s">
        <v>1988</v>
      </c>
      <c r="C1116" s="75" t="s">
        <v>1989</v>
      </c>
      <c r="D1116" s="75" t="s">
        <v>301</v>
      </c>
      <c r="E1116" s="75" t="str">
        <f>"০"</f>
        <v>০</v>
      </c>
      <c r="F1116" s="22" t="str">
        <f>"8119457815756"</f>
        <v>8119457815756</v>
      </c>
      <c r="G1116" s="75" t="str">
        <f>"৩৯৬"</f>
        <v>৩৯৬</v>
      </c>
      <c r="H1116" s="75" t="s">
        <v>315</v>
      </c>
      <c r="I1116" s="75" t="s">
        <v>315</v>
      </c>
      <c r="J1116" s="4"/>
    </row>
    <row r="1117" spans="1:10" x14ac:dyDescent="0.25">
      <c r="A1117" s="39">
        <v>1116</v>
      </c>
      <c r="B1117" s="3" t="s">
        <v>1990</v>
      </c>
      <c r="C1117" s="75" t="s">
        <v>1991</v>
      </c>
      <c r="D1117" s="75" t="s">
        <v>304</v>
      </c>
      <c r="E1117" s="75" t="str">
        <f>"০১৭২৭৬০৮৩৯১"</f>
        <v>০১৭২৭৬০৮৩৯১</v>
      </c>
      <c r="F1117" s="22" t="str">
        <f>"8119457816079"</f>
        <v>8119457816079</v>
      </c>
      <c r="G1117" s="75" t="str">
        <f>"৩৯৫"</f>
        <v>৩৯৫</v>
      </c>
      <c r="H1117" s="75" t="s">
        <v>313</v>
      </c>
      <c r="I1117" s="75" t="s">
        <v>313</v>
      </c>
      <c r="J1117" s="4"/>
    </row>
    <row r="1118" spans="1:10" x14ac:dyDescent="0.25">
      <c r="A1118" s="39">
        <v>1117</v>
      </c>
      <c r="B1118" s="3" t="s">
        <v>1992</v>
      </c>
      <c r="C1118" s="75" t="s">
        <v>1993</v>
      </c>
      <c r="D1118" s="75" t="s">
        <v>304</v>
      </c>
      <c r="E1118" s="75" t="str">
        <f>"০"</f>
        <v>০</v>
      </c>
      <c r="F1118" s="22" t="str">
        <f>"8119457815337"</f>
        <v>8119457815337</v>
      </c>
      <c r="G1118" s="75" t="str">
        <f>"৩৯৪"</f>
        <v>৩৯৪</v>
      </c>
      <c r="H1118" s="75" t="s">
        <v>314</v>
      </c>
      <c r="I1118" s="75" t="s">
        <v>314</v>
      </c>
      <c r="J1118" s="4"/>
    </row>
    <row r="1119" spans="1:10" x14ac:dyDescent="0.25">
      <c r="A1119" s="39">
        <v>1118</v>
      </c>
      <c r="B1119" s="3" t="s">
        <v>1994</v>
      </c>
      <c r="C1119" s="75" t="s">
        <v>1642</v>
      </c>
      <c r="D1119" s="75" t="s">
        <v>300</v>
      </c>
      <c r="E1119" s="75" t="str">
        <f>"০"</f>
        <v>০</v>
      </c>
      <c r="F1119" s="22" t="str">
        <f>"8119457816465"</f>
        <v>8119457816465</v>
      </c>
      <c r="G1119" s="75" t="str">
        <f>"৩৯৩"</f>
        <v>৩৯৩</v>
      </c>
      <c r="H1119" s="75" t="s">
        <v>321</v>
      </c>
      <c r="I1119" s="75" t="s">
        <v>321</v>
      </c>
      <c r="J1119" s="4"/>
    </row>
    <row r="1120" spans="1:10" x14ac:dyDescent="0.25">
      <c r="A1120" s="39">
        <v>1119</v>
      </c>
      <c r="B1120" s="3" t="s">
        <v>1995</v>
      </c>
      <c r="C1120" s="75" t="s">
        <v>1996</v>
      </c>
      <c r="D1120" s="75" t="s">
        <v>304</v>
      </c>
      <c r="E1120" s="75" t="str">
        <f>"০"</f>
        <v>০</v>
      </c>
      <c r="F1120" s="22" t="str">
        <f>"8119457815825"</f>
        <v>8119457815825</v>
      </c>
      <c r="G1120" s="75" t="str">
        <f>"৩৯২"</f>
        <v>৩৯২</v>
      </c>
      <c r="H1120" s="75" t="s">
        <v>322</v>
      </c>
      <c r="I1120" s="75" t="s">
        <v>322</v>
      </c>
      <c r="J1120" s="4"/>
    </row>
    <row r="1121" spans="1:10" x14ac:dyDescent="0.25">
      <c r="A1121" s="39">
        <v>1120</v>
      </c>
      <c r="B1121" s="3" t="s">
        <v>1997</v>
      </c>
      <c r="C1121" s="75" t="s">
        <v>1998</v>
      </c>
      <c r="D1121" s="75" t="s">
        <v>300</v>
      </c>
      <c r="E1121" s="75" t="str">
        <f>"০"</f>
        <v>০</v>
      </c>
      <c r="F1121" s="22" t="str">
        <f>"8119457815632"</f>
        <v>8119457815632</v>
      </c>
      <c r="G1121" s="75" t="str">
        <f>"৩৯১"</f>
        <v>৩৯১</v>
      </c>
      <c r="H1121" s="75" t="s">
        <v>314</v>
      </c>
      <c r="I1121" s="75" t="s">
        <v>314</v>
      </c>
      <c r="J1121" s="4"/>
    </row>
    <row r="1122" spans="1:10" x14ac:dyDescent="0.25">
      <c r="A1122" s="39">
        <v>1121</v>
      </c>
      <c r="B1122" s="3" t="s">
        <v>1999</v>
      </c>
      <c r="C1122" s="75" t="s">
        <v>1677</v>
      </c>
      <c r="D1122" s="75" t="s">
        <v>300</v>
      </c>
      <c r="E1122" s="75" t="str">
        <f>"০১৭৩৮৭০৬৫৭০"</f>
        <v>০১৭৩৮৭০৬৫৭০</v>
      </c>
      <c r="F1122" s="22" t="str">
        <f>"8119457817241"</f>
        <v>8119457817241</v>
      </c>
      <c r="G1122" s="75" t="str">
        <f>"৩৯০"</f>
        <v>৩৯০</v>
      </c>
      <c r="H1122" s="75" t="s">
        <v>323</v>
      </c>
      <c r="I1122" s="75" t="s">
        <v>323</v>
      </c>
      <c r="J1122" s="4"/>
    </row>
    <row r="1123" spans="1:10" x14ac:dyDescent="0.25">
      <c r="A1123" s="39">
        <v>1122</v>
      </c>
      <c r="B1123" s="3" t="s">
        <v>2734</v>
      </c>
      <c r="C1123" s="75" t="s">
        <v>1672</v>
      </c>
      <c r="D1123" s="75" t="s">
        <v>301</v>
      </c>
      <c r="E1123" s="75" t="str">
        <f t="shared" ref="E1123:E1132" si="16">"০"</f>
        <v>০</v>
      </c>
      <c r="F1123" s="22" t="str">
        <f>"8119457817222"</f>
        <v>8119457817222</v>
      </c>
      <c r="G1123" s="75" t="str">
        <f>"৩৮৯"</f>
        <v>৩৮৯</v>
      </c>
      <c r="H1123" s="75" t="s">
        <v>324</v>
      </c>
      <c r="I1123" s="75" t="s">
        <v>324</v>
      </c>
      <c r="J1123" s="4"/>
    </row>
    <row r="1124" spans="1:10" x14ac:dyDescent="0.25">
      <c r="A1124" s="39">
        <v>1123</v>
      </c>
      <c r="B1124" s="3" t="s">
        <v>2735</v>
      </c>
      <c r="C1124" s="75" t="s">
        <v>181</v>
      </c>
      <c r="D1124" s="75" t="s">
        <v>306</v>
      </c>
      <c r="E1124" s="75" t="str">
        <f t="shared" si="16"/>
        <v>০</v>
      </c>
      <c r="F1124" s="22" t="str">
        <f>"8119457011098"</f>
        <v>8119457011098</v>
      </c>
      <c r="G1124" s="75" t="str">
        <f>"৩৮৮"</f>
        <v>৩৮৮</v>
      </c>
      <c r="H1124" s="75" t="s">
        <v>325</v>
      </c>
      <c r="I1124" s="75" t="s">
        <v>325</v>
      </c>
      <c r="J1124" s="4"/>
    </row>
    <row r="1125" spans="1:10" x14ac:dyDescent="0.25">
      <c r="A1125" s="39">
        <v>1124</v>
      </c>
      <c r="B1125" s="3" t="s">
        <v>2736</v>
      </c>
      <c r="C1125" s="75" t="s">
        <v>2737</v>
      </c>
      <c r="D1125" s="75" t="s">
        <v>301</v>
      </c>
      <c r="E1125" s="75" t="str">
        <f t="shared" si="16"/>
        <v>০</v>
      </c>
      <c r="F1125" s="22" t="str">
        <f>"8119457817440"</f>
        <v>8119457817440</v>
      </c>
      <c r="G1125" s="75" t="str">
        <f>"৩৮৭"</f>
        <v>৩৮৭</v>
      </c>
      <c r="H1125" s="75" t="s">
        <v>319</v>
      </c>
      <c r="I1125" s="75" t="s">
        <v>319</v>
      </c>
      <c r="J1125" s="4"/>
    </row>
    <row r="1126" spans="1:10" x14ac:dyDescent="0.25">
      <c r="A1126" s="39">
        <v>1125</v>
      </c>
      <c r="B1126" s="3" t="s">
        <v>2738</v>
      </c>
      <c r="C1126" s="75" t="s">
        <v>2739</v>
      </c>
      <c r="D1126" s="75" t="s">
        <v>300</v>
      </c>
      <c r="E1126" s="75" t="str">
        <f t="shared" si="16"/>
        <v>০</v>
      </c>
      <c r="F1126" s="22" t="str">
        <f>"811945781"</f>
        <v>811945781</v>
      </c>
      <c r="G1126" s="75" t="str">
        <f>"৩৮৬"</f>
        <v>৩৮৬</v>
      </c>
      <c r="H1126" s="75" t="s">
        <v>326</v>
      </c>
      <c r="I1126" s="75" t="s">
        <v>326</v>
      </c>
      <c r="J1126" s="4"/>
    </row>
    <row r="1127" spans="1:10" x14ac:dyDescent="0.25">
      <c r="A1127" s="39">
        <v>1126</v>
      </c>
      <c r="B1127" s="3" t="s">
        <v>2740</v>
      </c>
      <c r="C1127" s="75" t="s">
        <v>1933</v>
      </c>
      <c r="D1127" s="75" t="s">
        <v>306</v>
      </c>
      <c r="E1127" s="75" t="str">
        <f t="shared" si="16"/>
        <v>০</v>
      </c>
      <c r="F1127" s="22" t="str">
        <f>"8119457817386"</f>
        <v>8119457817386</v>
      </c>
      <c r="G1127" s="75" t="str">
        <f>"৩৮৫"</f>
        <v>৩৮৫</v>
      </c>
      <c r="H1127" s="75" t="s">
        <v>327</v>
      </c>
      <c r="I1127" s="75" t="s">
        <v>327</v>
      </c>
      <c r="J1127" s="4"/>
    </row>
    <row r="1128" spans="1:10" x14ac:dyDescent="0.25">
      <c r="A1128" s="39">
        <v>1127</v>
      </c>
      <c r="B1128" s="12" t="s">
        <v>2741</v>
      </c>
      <c r="C1128" s="77" t="s">
        <v>2523</v>
      </c>
      <c r="D1128" s="77" t="s">
        <v>301</v>
      </c>
      <c r="E1128" s="77" t="str">
        <f t="shared" si="16"/>
        <v>০</v>
      </c>
      <c r="F1128" s="22" t="str">
        <f>"8119457817402"</f>
        <v>8119457817402</v>
      </c>
      <c r="G1128" s="75" t="str">
        <f>"৩৮৪"</f>
        <v>৩৮৪</v>
      </c>
      <c r="H1128" s="75" t="s">
        <v>328</v>
      </c>
      <c r="I1128" s="75" t="s">
        <v>328</v>
      </c>
      <c r="J1128" s="4"/>
    </row>
    <row r="1129" spans="1:10" x14ac:dyDescent="0.25">
      <c r="A1129" s="39">
        <v>1128</v>
      </c>
      <c r="B1129" s="3" t="s">
        <v>1735</v>
      </c>
      <c r="C1129" s="75" t="s">
        <v>2742</v>
      </c>
      <c r="D1129" s="75" t="s">
        <v>300</v>
      </c>
      <c r="E1129" s="75" t="str">
        <f t="shared" si="16"/>
        <v>০</v>
      </c>
      <c r="F1129" s="22" t="str">
        <f>"8119457817407"</f>
        <v>8119457817407</v>
      </c>
      <c r="G1129" s="75" t="str">
        <f>"৩৮৩"</f>
        <v>৩৮৩</v>
      </c>
      <c r="H1129" s="75" t="s">
        <v>329</v>
      </c>
      <c r="I1129" s="75" t="s">
        <v>329</v>
      </c>
      <c r="J1129" s="4"/>
    </row>
    <row r="1130" spans="1:10" x14ac:dyDescent="0.25">
      <c r="A1130" s="39">
        <v>1129</v>
      </c>
      <c r="B1130" s="3" t="s">
        <v>2743</v>
      </c>
      <c r="C1130" s="75" t="s">
        <v>2011</v>
      </c>
      <c r="D1130" s="75" t="s">
        <v>301</v>
      </c>
      <c r="E1130" s="75" t="str">
        <f t="shared" si="16"/>
        <v>০</v>
      </c>
      <c r="F1130" s="22" t="str">
        <f>"8119457817226"</f>
        <v>8119457817226</v>
      </c>
      <c r="G1130" s="75" t="str">
        <f>"৩৮২"</f>
        <v>৩৮২</v>
      </c>
      <c r="H1130" s="75" t="s">
        <v>330</v>
      </c>
      <c r="I1130" s="75" t="s">
        <v>330</v>
      </c>
      <c r="J1130" s="4"/>
    </row>
    <row r="1131" spans="1:10" x14ac:dyDescent="0.25">
      <c r="A1131" s="39">
        <v>1130</v>
      </c>
      <c r="B1131" s="3" t="s">
        <v>2744</v>
      </c>
      <c r="C1131" s="75" t="s">
        <v>1987</v>
      </c>
      <c r="D1131" s="75" t="s">
        <v>301</v>
      </c>
      <c r="E1131" s="75" t="str">
        <f t="shared" si="16"/>
        <v>০</v>
      </c>
      <c r="F1131" s="22" t="str">
        <f>"8119457817197"</f>
        <v>8119457817197</v>
      </c>
      <c r="G1131" s="75" t="str">
        <f>"৩৮১"</f>
        <v>৩৮১</v>
      </c>
      <c r="H1131" s="75" t="s">
        <v>319</v>
      </c>
      <c r="I1131" s="75" t="s">
        <v>319</v>
      </c>
      <c r="J1131" s="4"/>
    </row>
    <row r="1132" spans="1:10" x14ac:dyDescent="0.25">
      <c r="A1132" s="39">
        <v>1131</v>
      </c>
      <c r="B1132" s="3" t="s">
        <v>2168</v>
      </c>
      <c r="C1132" s="75" t="s">
        <v>2745</v>
      </c>
      <c r="D1132" s="75" t="s">
        <v>300</v>
      </c>
      <c r="E1132" s="75" t="str">
        <f t="shared" si="16"/>
        <v>০</v>
      </c>
      <c r="F1132" s="22" t="str">
        <f>"8119457817248"</f>
        <v>8119457817248</v>
      </c>
      <c r="G1132" s="75" t="str">
        <f>"৩৮০"</f>
        <v>৩৮০</v>
      </c>
      <c r="H1132" s="75" t="s">
        <v>317</v>
      </c>
      <c r="I1132" s="75" t="s">
        <v>317</v>
      </c>
      <c r="J1132" s="4"/>
    </row>
    <row r="1133" spans="1:10" x14ac:dyDescent="0.25">
      <c r="A1133" s="39">
        <v>1132</v>
      </c>
      <c r="B1133" s="3" t="s">
        <v>1943</v>
      </c>
      <c r="C1133" s="75" t="s">
        <v>1944</v>
      </c>
      <c r="D1133" s="75" t="s">
        <v>301</v>
      </c>
      <c r="E1133" s="75" t="str">
        <f>"০১৭৮৬৮৭১৫৭৭"</f>
        <v>০১৭৮৬৮৭১৫৭৭</v>
      </c>
      <c r="F1133" s="22" t="str">
        <f>"8119457817194"</f>
        <v>8119457817194</v>
      </c>
      <c r="G1133" s="75" t="str">
        <f>"৩৭৯"</f>
        <v>৩৭৯</v>
      </c>
      <c r="H1133" s="75" t="s">
        <v>323</v>
      </c>
      <c r="I1133" s="75" t="s">
        <v>323</v>
      </c>
      <c r="J1133" s="4"/>
    </row>
    <row r="1134" spans="1:10" x14ac:dyDescent="0.25">
      <c r="A1134" s="39">
        <v>1133</v>
      </c>
      <c r="B1134" s="3" t="s">
        <v>1773</v>
      </c>
      <c r="C1134" s="75" t="s">
        <v>1945</v>
      </c>
      <c r="D1134" s="75" t="s">
        <v>300</v>
      </c>
      <c r="E1134" s="75" t="str">
        <f>"০১৭৬৭২৪৫৫৮২"</f>
        <v>০১৭৬৭২৪৫৫৮২</v>
      </c>
      <c r="F1134" s="22" t="str">
        <f>"8119457817268"</f>
        <v>8119457817268</v>
      </c>
      <c r="G1134" s="75" t="str">
        <f>"৩৭৮"</f>
        <v>৩৭৮</v>
      </c>
      <c r="H1134" s="75" t="s">
        <v>326</v>
      </c>
      <c r="I1134" s="75" t="s">
        <v>326</v>
      </c>
      <c r="J1134" s="4"/>
    </row>
    <row r="1135" spans="1:10" x14ac:dyDescent="0.25">
      <c r="A1135" s="39">
        <v>1134</v>
      </c>
      <c r="B1135" s="3" t="s">
        <v>1946</v>
      </c>
      <c r="C1135" s="75" t="s">
        <v>1947</v>
      </c>
      <c r="D1135" s="75" t="s">
        <v>300</v>
      </c>
      <c r="E1135" s="75" t="str">
        <f>"০"</f>
        <v>০</v>
      </c>
      <c r="F1135" s="22" t="str">
        <f>"8119457817422"</f>
        <v>8119457817422</v>
      </c>
      <c r="G1135" s="75" t="str">
        <f>"৩৭৭"</f>
        <v>৩৭৭</v>
      </c>
      <c r="H1135" s="75" t="s">
        <v>331</v>
      </c>
      <c r="I1135" s="75" t="s">
        <v>331</v>
      </c>
      <c r="J1135" s="4"/>
    </row>
    <row r="1136" spans="1:10" x14ac:dyDescent="0.25">
      <c r="A1136" s="39">
        <v>1135</v>
      </c>
      <c r="B1136" s="3" t="s">
        <v>1948</v>
      </c>
      <c r="C1136" s="75" t="s">
        <v>1949</v>
      </c>
      <c r="D1136" s="75" t="s">
        <v>301</v>
      </c>
      <c r="E1136" s="75" t="str">
        <f>"০"</f>
        <v>০</v>
      </c>
      <c r="F1136" s="22" t="str">
        <f>"8119457817233"</f>
        <v>8119457817233</v>
      </c>
      <c r="G1136" s="75" t="str">
        <f>"৩৭৬"</f>
        <v>৩৭৬</v>
      </c>
      <c r="H1136" s="75" t="s">
        <v>329</v>
      </c>
      <c r="I1136" s="75" t="s">
        <v>329</v>
      </c>
      <c r="J1136" s="4"/>
    </row>
    <row r="1137" spans="1:10" x14ac:dyDescent="0.25">
      <c r="A1137" s="39">
        <v>1136</v>
      </c>
      <c r="B1137" s="3" t="s">
        <v>1950</v>
      </c>
      <c r="C1137" s="75" t="s">
        <v>1951</v>
      </c>
      <c r="D1137" s="75" t="s">
        <v>301</v>
      </c>
      <c r="E1137" s="75" t="str">
        <f>"০১৮৬৬৮৮৬৭৯৬"</f>
        <v>০১৮৬৬৮৮৬৭৯৬</v>
      </c>
      <c r="F1137" s="22" t="str">
        <f>"8119457814930"</f>
        <v>8119457814930</v>
      </c>
      <c r="G1137" s="75" t="str">
        <f>"৩৭৫"</f>
        <v>৩৭৫</v>
      </c>
      <c r="H1137" s="75" t="s">
        <v>332</v>
      </c>
      <c r="I1137" s="75" t="s">
        <v>332</v>
      </c>
      <c r="J1137" s="4"/>
    </row>
    <row r="1138" spans="1:10" x14ac:dyDescent="0.25">
      <c r="A1138" s="39">
        <v>1137</v>
      </c>
      <c r="B1138" s="3" t="s">
        <v>1952</v>
      </c>
      <c r="C1138" s="75" t="s">
        <v>1953</v>
      </c>
      <c r="D1138" s="75" t="s">
        <v>301</v>
      </c>
      <c r="E1138" s="75" t="str">
        <f>"০"</f>
        <v>০</v>
      </c>
      <c r="F1138" s="22" t="str">
        <f>"8119457817384"</f>
        <v>8119457817384</v>
      </c>
      <c r="G1138" s="75" t="str">
        <f>"৩৭৪"</f>
        <v>৩৭৪</v>
      </c>
      <c r="H1138" s="75" t="s">
        <v>316</v>
      </c>
      <c r="I1138" s="75" t="s">
        <v>316</v>
      </c>
      <c r="J1138" s="4"/>
    </row>
    <row r="1139" spans="1:10" x14ac:dyDescent="0.25">
      <c r="A1139" s="39">
        <v>1138</v>
      </c>
      <c r="B1139" s="3" t="s">
        <v>1933</v>
      </c>
      <c r="C1139" s="75" t="s">
        <v>1954</v>
      </c>
      <c r="D1139" s="75" t="s">
        <v>301</v>
      </c>
      <c r="E1139" s="75" t="str">
        <f>"০"</f>
        <v>০</v>
      </c>
      <c r="F1139" s="22" t="str">
        <f>"8119457817395"</f>
        <v>8119457817395</v>
      </c>
      <c r="G1139" s="75" t="str">
        <f>"৩৭৩"</f>
        <v>৩৭৩</v>
      </c>
      <c r="H1139" s="75" t="s">
        <v>330</v>
      </c>
      <c r="I1139" s="75" t="s">
        <v>330</v>
      </c>
      <c r="J1139" s="4"/>
    </row>
    <row r="1140" spans="1:10" x14ac:dyDescent="0.25">
      <c r="A1140" s="39">
        <v>1139</v>
      </c>
      <c r="B1140" s="3" t="s">
        <v>1955</v>
      </c>
      <c r="C1140" s="75" t="s">
        <v>1956</v>
      </c>
      <c r="D1140" s="75" t="s">
        <v>302</v>
      </c>
      <c r="E1140" s="75" t="str">
        <f>"০"</f>
        <v>০</v>
      </c>
      <c r="F1140" s="22" t="str">
        <f>"8119457817394"</f>
        <v>8119457817394</v>
      </c>
      <c r="G1140" s="75" t="str">
        <f>"৩৭২"</f>
        <v>৩৭২</v>
      </c>
      <c r="H1140" s="75" t="s">
        <v>333</v>
      </c>
      <c r="I1140" s="75" t="s">
        <v>333</v>
      </c>
      <c r="J1140" s="4"/>
    </row>
    <row r="1141" spans="1:10" x14ac:dyDescent="0.25">
      <c r="A1141" s="39">
        <v>1140</v>
      </c>
      <c r="B1141" s="3" t="s">
        <v>1957</v>
      </c>
      <c r="C1141" s="75" t="s">
        <v>1958</v>
      </c>
      <c r="D1141" s="75" t="s">
        <v>300</v>
      </c>
      <c r="E1141" s="75" t="str">
        <f>"০"</f>
        <v>০</v>
      </c>
      <c r="F1141" s="22" t="str">
        <f>"8119457817425"</f>
        <v>8119457817425</v>
      </c>
      <c r="G1141" s="75" t="str">
        <f>"৩৭১"</f>
        <v>৩৭১</v>
      </c>
      <c r="H1141" s="75" t="s">
        <v>319</v>
      </c>
      <c r="I1141" s="75" t="s">
        <v>319</v>
      </c>
      <c r="J1141" s="4"/>
    </row>
    <row r="1142" spans="1:10" x14ac:dyDescent="0.25">
      <c r="A1142" s="39">
        <v>1141</v>
      </c>
      <c r="B1142" s="3" t="s">
        <v>1959</v>
      </c>
      <c r="C1142" s="75" t="s">
        <v>1960</v>
      </c>
      <c r="D1142" s="75" t="s">
        <v>301</v>
      </c>
      <c r="E1142" s="75" t="str">
        <f>"০"</f>
        <v>০</v>
      </c>
      <c r="F1142" s="22" t="str">
        <f>"8119457817241"</f>
        <v>8119457817241</v>
      </c>
      <c r="G1142" s="75" t="str">
        <f>"৩৭০"</f>
        <v>৩৭০</v>
      </c>
      <c r="H1142" s="75" t="s">
        <v>322</v>
      </c>
      <c r="I1142" s="75" t="s">
        <v>322</v>
      </c>
      <c r="J1142" s="4"/>
    </row>
    <row r="1143" spans="1:10" x14ac:dyDescent="0.25">
      <c r="A1143" s="39">
        <v>1142</v>
      </c>
      <c r="B1143" s="3" t="s">
        <v>1961</v>
      </c>
      <c r="C1143" s="75" t="s">
        <v>1962</v>
      </c>
      <c r="D1143" s="75" t="s">
        <v>301</v>
      </c>
      <c r="E1143" s="75" t="str">
        <f>"০১৭২৮৯৩৫৯৭৩"</f>
        <v>০১৭২৮৯৩৫৯৭৩</v>
      </c>
      <c r="F1143" s="22" t="str">
        <f>"8119457817222"</f>
        <v>8119457817222</v>
      </c>
      <c r="G1143" s="75" t="str">
        <f>"৩৬৯"</f>
        <v>৩৬৯</v>
      </c>
      <c r="H1143" s="75" t="s">
        <v>319</v>
      </c>
      <c r="I1143" s="75" t="s">
        <v>319</v>
      </c>
      <c r="J1143" s="4"/>
    </row>
    <row r="1144" spans="1:10" x14ac:dyDescent="0.25">
      <c r="A1144" s="39">
        <v>1143</v>
      </c>
      <c r="B1144" s="3" t="s">
        <v>2746</v>
      </c>
      <c r="C1144" s="75" t="s">
        <v>2747</v>
      </c>
      <c r="D1144" s="75" t="s">
        <v>301</v>
      </c>
      <c r="E1144" s="75" t="str">
        <f t="shared" ref="E1144:E1154" si="17">"০"</f>
        <v>০</v>
      </c>
      <c r="F1144" s="22" t="str">
        <f>"8119457011098"</f>
        <v>8119457011098</v>
      </c>
      <c r="G1144" s="75" t="str">
        <f>"৩৬৮"</f>
        <v>৩৬৮</v>
      </c>
      <c r="H1144" s="75" t="s">
        <v>315</v>
      </c>
      <c r="I1144" s="75" t="s">
        <v>315</v>
      </c>
      <c r="J1144" s="4"/>
    </row>
    <row r="1145" spans="1:10" x14ac:dyDescent="0.25">
      <c r="A1145" s="39">
        <v>1144</v>
      </c>
      <c r="B1145" s="3" t="s">
        <v>2748</v>
      </c>
      <c r="C1145" s="75" t="s">
        <v>2749</v>
      </c>
      <c r="D1145" s="75" t="s">
        <v>301</v>
      </c>
      <c r="E1145" s="75" t="str">
        <f t="shared" si="17"/>
        <v>০</v>
      </c>
      <c r="F1145" s="22" t="str">
        <f>"8119457817440"</f>
        <v>8119457817440</v>
      </c>
      <c r="G1145" s="75" t="str">
        <f>"৩৬৭"</f>
        <v>৩৬৭</v>
      </c>
      <c r="H1145" s="75" t="s">
        <v>316</v>
      </c>
      <c r="I1145" s="75" t="s">
        <v>316</v>
      </c>
      <c r="J1145" s="4"/>
    </row>
    <row r="1146" spans="1:10" x14ac:dyDescent="0.25">
      <c r="A1146" s="39">
        <v>1145</v>
      </c>
      <c r="B1146" s="3" t="s">
        <v>2750</v>
      </c>
      <c r="C1146" s="75" t="s">
        <v>2751</v>
      </c>
      <c r="D1146" s="75" t="s">
        <v>301</v>
      </c>
      <c r="E1146" s="75" t="str">
        <f t="shared" si="17"/>
        <v>০</v>
      </c>
      <c r="F1146" s="22" t="str">
        <f>"811945781"</f>
        <v>811945781</v>
      </c>
      <c r="G1146" s="75" t="str">
        <f>"৩৬৬"</f>
        <v>৩৬৬</v>
      </c>
      <c r="H1146" s="75" t="s">
        <v>317</v>
      </c>
      <c r="I1146" s="75" t="s">
        <v>317</v>
      </c>
      <c r="J1146" s="4"/>
    </row>
    <row r="1147" spans="1:10" x14ac:dyDescent="0.25">
      <c r="A1147" s="39">
        <v>1146</v>
      </c>
      <c r="B1147" s="12" t="s">
        <v>2752</v>
      </c>
      <c r="C1147" s="77" t="s">
        <v>2753</v>
      </c>
      <c r="D1147" s="77" t="s">
        <v>301</v>
      </c>
      <c r="E1147" s="77" t="str">
        <f t="shared" si="17"/>
        <v>০</v>
      </c>
      <c r="F1147" s="22" t="str">
        <f>"8119457817386"</f>
        <v>8119457817386</v>
      </c>
      <c r="G1147" s="75" t="str">
        <f>"৩৬৫"</f>
        <v>৩৬৫</v>
      </c>
      <c r="H1147" s="75" t="s">
        <v>318</v>
      </c>
      <c r="I1147" s="75" t="s">
        <v>318</v>
      </c>
      <c r="J1147" s="4"/>
    </row>
    <row r="1148" spans="1:10" x14ac:dyDescent="0.25">
      <c r="A1148" s="39">
        <v>1147</v>
      </c>
      <c r="B1148" s="3" t="s">
        <v>2754</v>
      </c>
      <c r="C1148" s="75" t="s">
        <v>2638</v>
      </c>
      <c r="D1148" s="75" t="s">
        <v>301</v>
      </c>
      <c r="E1148" s="75" t="str">
        <f t="shared" si="17"/>
        <v>০</v>
      </c>
      <c r="F1148" s="22" t="str">
        <f>"8119457817402"</f>
        <v>8119457817402</v>
      </c>
      <c r="G1148" s="75" t="str">
        <f>"৩৬৪"</f>
        <v>৩৬৪</v>
      </c>
      <c r="H1148" s="75" t="s">
        <v>319</v>
      </c>
      <c r="I1148" s="75" t="s">
        <v>319</v>
      </c>
      <c r="J1148" s="4"/>
    </row>
    <row r="1149" spans="1:10" x14ac:dyDescent="0.25">
      <c r="A1149" s="39">
        <v>1148</v>
      </c>
      <c r="B1149" s="3" t="s">
        <v>1981</v>
      </c>
      <c r="C1149" s="75" t="s">
        <v>1539</v>
      </c>
      <c r="D1149" s="75" t="s">
        <v>300</v>
      </c>
      <c r="E1149" s="75" t="str">
        <f t="shared" si="17"/>
        <v>০</v>
      </c>
      <c r="F1149" s="22" t="str">
        <f>"8119457817407"</f>
        <v>8119457817407</v>
      </c>
      <c r="G1149" s="75" t="str">
        <f>"৩৬৩"</f>
        <v>৩৬৩</v>
      </c>
      <c r="H1149" s="75" t="s">
        <v>320</v>
      </c>
      <c r="I1149" s="75" t="s">
        <v>320</v>
      </c>
      <c r="J1149" s="4"/>
    </row>
    <row r="1150" spans="1:10" x14ac:dyDescent="0.25">
      <c r="A1150" s="39">
        <v>1149</v>
      </c>
      <c r="B1150" s="3" t="s">
        <v>2372</v>
      </c>
      <c r="C1150" s="75" t="s">
        <v>2755</v>
      </c>
      <c r="D1150" s="75" t="s">
        <v>301</v>
      </c>
      <c r="E1150" s="75" t="str">
        <f t="shared" si="17"/>
        <v>০</v>
      </c>
      <c r="F1150" s="22" t="str">
        <f>"8119457817226"</f>
        <v>8119457817226</v>
      </c>
      <c r="G1150" s="75" t="str">
        <f>"৩৬২"</f>
        <v>৩৬২</v>
      </c>
      <c r="H1150" s="75" t="s">
        <v>315</v>
      </c>
      <c r="I1150" s="75" t="s">
        <v>315</v>
      </c>
      <c r="J1150" s="4"/>
    </row>
    <row r="1151" spans="1:10" x14ac:dyDescent="0.25">
      <c r="A1151" s="39">
        <v>1150</v>
      </c>
      <c r="B1151" s="3" t="s">
        <v>2756</v>
      </c>
      <c r="C1151" s="75" t="s">
        <v>2364</v>
      </c>
      <c r="D1151" s="75" t="s">
        <v>304</v>
      </c>
      <c r="E1151" s="75" t="str">
        <f t="shared" si="17"/>
        <v>০</v>
      </c>
      <c r="F1151" s="22" t="str">
        <f>"8119457817197"</f>
        <v>8119457817197</v>
      </c>
      <c r="G1151" s="75" t="str">
        <f>"৩৬১"</f>
        <v>৩৬১</v>
      </c>
      <c r="H1151" s="75" t="s">
        <v>313</v>
      </c>
      <c r="I1151" s="75" t="s">
        <v>313</v>
      </c>
      <c r="J1151" s="4"/>
    </row>
    <row r="1152" spans="1:10" x14ac:dyDescent="0.25">
      <c r="A1152" s="39">
        <v>1151</v>
      </c>
      <c r="B1152" s="3" t="s">
        <v>2757</v>
      </c>
      <c r="C1152" s="75" t="s">
        <v>2758</v>
      </c>
      <c r="D1152" s="75" t="s">
        <v>301</v>
      </c>
      <c r="E1152" s="75" t="str">
        <f t="shared" si="17"/>
        <v>০</v>
      </c>
      <c r="F1152" s="22" t="str">
        <f>"8119457817248"</f>
        <v>8119457817248</v>
      </c>
      <c r="G1152" s="75" t="str">
        <f>"৩৬০"</f>
        <v>৩৬০</v>
      </c>
      <c r="H1152" s="75" t="s">
        <v>314</v>
      </c>
      <c r="I1152" s="75" t="s">
        <v>314</v>
      </c>
      <c r="J1152" s="4"/>
    </row>
    <row r="1153" spans="1:10" x14ac:dyDescent="0.25">
      <c r="A1153" s="39">
        <v>1152</v>
      </c>
      <c r="B1153" s="3" t="s">
        <v>2759</v>
      </c>
      <c r="C1153" s="75" t="s">
        <v>2760</v>
      </c>
      <c r="D1153" s="75" t="s">
        <v>304</v>
      </c>
      <c r="E1153" s="75" t="str">
        <f t="shared" si="17"/>
        <v>০</v>
      </c>
      <c r="F1153" s="22" t="str">
        <f>"8119457817194"</f>
        <v>8119457817194</v>
      </c>
      <c r="G1153" s="75" t="str">
        <f>"৩৫৯"</f>
        <v>৩৫৯</v>
      </c>
      <c r="H1153" s="75" t="s">
        <v>321</v>
      </c>
      <c r="I1153" s="75" t="s">
        <v>321</v>
      </c>
      <c r="J1153" s="4"/>
    </row>
    <row r="1154" spans="1:10" x14ac:dyDescent="0.25">
      <c r="A1154" s="39">
        <v>1153</v>
      </c>
      <c r="B1154" s="3" t="s">
        <v>2761</v>
      </c>
      <c r="C1154" s="75" t="s">
        <v>2762</v>
      </c>
      <c r="D1154" s="75" t="s">
        <v>300</v>
      </c>
      <c r="E1154" s="75" t="str">
        <f t="shared" si="17"/>
        <v>০</v>
      </c>
      <c r="F1154" s="22" t="str">
        <f>"8119457817268"</f>
        <v>8119457817268</v>
      </c>
      <c r="G1154" s="75" t="str">
        <f>"৩৫৮"</f>
        <v>৩৫৮</v>
      </c>
      <c r="H1154" s="75" t="s">
        <v>322</v>
      </c>
      <c r="I1154" s="75" t="s">
        <v>322</v>
      </c>
      <c r="J1154" s="4"/>
    </row>
    <row r="1155" spans="1:10" x14ac:dyDescent="0.25">
      <c r="A1155" s="39">
        <v>1154</v>
      </c>
      <c r="B1155" s="3" t="s">
        <v>2185</v>
      </c>
      <c r="C1155" s="75" t="s">
        <v>2763</v>
      </c>
      <c r="D1155" s="75" t="s">
        <v>301</v>
      </c>
      <c r="E1155" s="75" t="str">
        <f>"০১৮৬৭২৩৬৩৩৮"</f>
        <v>০১৮৬৭২৩৬৩৩৮</v>
      </c>
      <c r="F1155" s="22" t="str">
        <f>"8119457817422"</f>
        <v>8119457817422</v>
      </c>
      <c r="G1155" s="75" t="str">
        <f>"৩৫৭"</f>
        <v>৩৫৭</v>
      </c>
      <c r="H1155" s="75" t="s">
        <v>314</v>
      </c>
      <c r="I1155" s="75" t="s">
        <v>314</v>
      </c>
      <c r="J1155" s="4"/>
    </row>
    <row r="1156" spans="1:10" x14ac:dyDescent="0.25">
      <c r="A1156" s="39">
        <v>1155</v>
      </c>
      <c r="B1156" s="3" t="s">
        <v>2764</v>
      </c>
      <c r="C1156" s="75" t="s">
        <v>2746</v>
      </c>
      <c r="D1156" s="75" t="s">
        <v>301</v>
      </c>
      <c r="E1156" s="75" t="str">
        <f>"০"</f>
        <v>০</v>
      </c>
      <c r="F1156" s="22" t="str">
        <f>"8119457817233"</f>
        <v>8119457817233</v>
      </c>
      <c r="G1156" s="75" t="str">
        <f>"৩৫৬"</f>
        <v>৩৫৬</v>
      </c>
      <c r="H1156" s="75" t="s">
        <v>323</v>
      </c>
      <c r="I1156" s="75" t="s">
        <v>323</v>
      </c>
      <c r="J1156" s="4"/>
    </row>
    <row r="1157" spans="1:10" x14ac:dyDescent="0.25">
      <c r="A1157" s="39">
        <v>1156</v>
      </c>
      <c r="B1157" s="3" t="s">
        <v>1782</v>
      </c>
      <c r="C1157" s="75" t="s">
        <v>2425</v>
      </c>
      <c r="D1157" s="75" t="s">
        <v>301</v>
      </c>
      <c r="E1157" s="75" t="str">
        <f>"০"</f>
        <v>০</v>
      </c>
      <c r="F1157" s="22" t="str">
        <f>"8119457814930"</f>
        <v>8119457814930</v>
      </c>
      <c r="G1157" s="75" t="str">
        <f>"৩৫৫"</f>
        <v>৩৫৫</v>
      </c>
      <c r="H1157" s="75" t="s">
        <v>324</v>
      </c>
      <c r="I1157" s="75" t="s">
        <v>324</v>
      </c>
      <c r="J1157" s="4"/>
    </row>
    <row r="1158" spans="1:10" x14ac:dyDescent="0.25">
      <c r="A1158" s="39">
        <v>1157</v>
      </c>
      <c r="B1158" s="3" t="s">
        <v>2765</v>
      </c>
      <c r="C1158" s="75" t="s">
        <v>2766</v>
      </c>
      <c r="D1158" s="75" t="s">
        <v>301</v>
      </c>
      <c r="E1158" s="75" t="str">
        <f>"০"</f>
        <v>০</v>
      </c>
      <c r="F1158" s="22" t="str">
        <f>"8119457817384"</f>
        <v>8119457817384</v>
      </c>
      <c r="G1158" s="75" t="str">
        <f>"৩৫৪"</f>
        <v>৩৫৪</v>
      </c>
      <c r="H1158" s="75" t="s">
        <v>325</v>
      </c>
      <c r="I1158" s="75" t="s">
        <v>325</v>
      </c>
      <c r="J1158" s="4"/>
    </row>
    <row r="1159" spans="1:10" x14ac:dyDescent="0.25">
      <c r="A1159" s="39">
        <v>1158</v>
      </c>
      <c r="B1159" s="3" t="s">
        <v>2767</v>
      </c>
      <c r="C1159" s="75" t="s">
        <v>2768</v>
      </c>
      <c r="D1159" s="75" t="s">
        <v>300</v>
      </c>
      <c r="E1159" s="75" t="str">
        <f>"০১৭২৪৯৮১৫৬০"</f>
        <v>০১৭২৪৯৮১৫৬০</v>
      </c>
      <c r="F1159" s="22" t="str">
        <f>"8119457817395"</f>
        <v>8119457817395</v>
      </c>
      <c r="G1159" s="75" t="str">
        <f>"৩৫৩"</f>
        <v>৩৫৩</v>
      </c>
      <c r="H1159" s="75" t="s">
        <v>319</v>
      </c>
      <c r="I1159" s="75" t="s">
        <v>319</v>
      </c>
      <c r="J1159" s="4"/>
    </row>
    <row r="1160" spans="1:10" x14ac:dyDescent="0.25">
      <c r="A1160" s="39">
        <v>1159</v>
      </c>
      <c r="B1160" s="3" t="s">
        <v>2430</v>
      </c>
      <c r="C1160" s="75" t="s">
        <v>2769</v>
      </c>
      <c r="D1160" s="75" t="s">
        <v>300</v>
      </c>
      <c r="E1160" s="75" t="str">
        <f>"০"</f>
        <v>০</v>
      </c>
      <c r="F1160" s="22" t="str">
        <f>"8119457817394"</f>
        <v>8119457817394</v>
      </c>
      <c r="G1160" s="75" t="str">
        <f>"৩৫২"</f>
        <v>৩৫২</v>
      </c>
      <c r="H1160" s="75" t="s">
        <v>326</v>
      </c>
      <c r="I1160" s="75" t="s">
        <v>326</v>
      </c>
      <c r="J1160" s="4"/>
    </row>
    <row r="1161" spans="1:10" x14ac:dyDescent="0.25">
      <c r="A1161" s="39">
        <v>1160</v>
      </c>
      <c r="B1161" s="3" t="s">
        <v>2072</v>
      </c>
      <c r="C1161" s="75" t="s">
        <v>1611</v>
      </c>
      <c r="D1161" s="75" t="s">
        <v>300</v>
      </c>
      <c r="E1161" s="75" t="str">
        <f>"০১৭৯০০৯৬৮০৬"</f>
        <v>০১৭৯০০৯৬৮০৬</v>
      </c>
      <c r="F1161" s="22" t="str">
        <f>"8119457817425"</f>
        <v>8119457817425</v>
      </c>
      <c r="G1161" s="75" t="str">
        <f>"৩৫১"</f>
        <v>৩৫১</v>
      </c>
      <c r="H1161" s="75" t="s">
        <v>327</v>
      </c>
      <c r="I1161" s="75" t="s">
        <v>327</v>
      </c>
      <c r="J1161" s="4"/>
    </row>
    <row r="1162" spans="1:10" x14ac:dyDescent="0.25">
      <c r="A1162" s="39">
        <v>1161</v>
      </c>
      <c r="B1162" s="12" t="s">
        <v>1929</v>
      </c>
      <c r="C1162" s="77" t="s">
        <v>2770</v>
      </c>
      <c r="D1162" s="77" t="s">
        <v>301</v>
      </c>
      <c r="E1162" s="77" t="str">
        <f>"০"</f>
        <v>০</v>
      </c>
      <c r="F1162" s="22" t="str">
        <f>"8119457817241"</f>
        <v>8119457817241</v>
      </c>
      <c r="G1162" s="75" t="str">
        <f>"৩৫০"</f>
        <v>৩৫০</v>
      </c>
      <c r="H1162" s="75" t="s">
        <v>328</v>
      </c>
      <c r="I1162" s="75" t="s">
        <v>328</v>
      </c>
      <c r="J1162" s="4"/>
    </row>
    <row r="1163" spans="1:10" x14ac:dyDescent="0.25">
      <c r="A1163" s="39">
        <v>1162</v>
      </c>
      <c r="B1163" s="3" t="s">
        <v>2771</v>
      </c>
      <c r="C1163" s="75" t="s">
        <v>2772</v>
      </c>
      <c r="D1163" s="75" t="s">
        <v>305</v>
      </c>
      <c r="E1163" s="75" t="str">
        <f>"০"</f>
        <v>০</v>
      </c>
      <c r="F1163" s="22" t="str">
        <f>"8119457817222"</f>
        <v>8119457817222</v>
      </c>
      <c r="G1163" s="75" t="str">
        <f>"৩৪৯"</f>
        <v>৩৪৯</v>
      </c>
      <c r="H1163" s="75" t="s">
        <v>329</v>
      </c>
      <c r="I1163" s="75" t="s">
        <v>329</v>
      </c>
      <c r="J1163" s="4"/>
    </row>
    <row r="1164" spans="1:10" x14ac:dyDescent="0.25">
      <c r="A1164" s="39">
        <v>1163</v>
      </c>
      <c r="B1164" s="3" t="s">
        <v>2014</v>
      </c>
      <c r="C1164" s="75" t="s">
        <v>2773</v>
      </c>
      <c r="D1164" s="75" t="s">
        <v>301</v>
      </c>
      <c r="E1164" s="75" t="str">
        <f>"০"</f>
        <v>০</v>
      </c>
      <c r="F1164" s="22" t="str">
        <f>"8119457011098"</f>
        <v>8119457011098</v>
      </c>
      <c r="G1164" s="75" t="str">
        <f>"৩৪৮"</f>
        <v>৩৪৮</v>
      </c>
      <c r="H1164" s="75" t="s">
        <v>330</v>
      </c>
      <c r="I1164" s="75" t="s">
        <v>330</v>
      </c>
      <c r="J1164" s="4"/>
    </row>
    <row r="1165" spans="1:10" x14ac:dyDescent="0.25">
      <c r="A1165" s="39">
        <v>1164</v>
      </c>
      <c r="B1165" s="3" t="s">
        <v>1930</v>
      </c>
      <c r="C1165" s="75" t="s">
        <v>2481</v>
      </c>
      <c r="D1165" s="75" t="s">
        <v>300</v>
      </c>
      <c r="E1165" s="75" t="str">
        <f>"০১৭১৩৭২৪২৯৭"</f>
        <v>০১৭১৩৭২৪২৯৭</v>
      </c>
      <c r="F1165" s="22" t="str">
        <f>"8119457817440"</f>
        <v>8119457817440</v>
      </c>
      <c r="G1165" s="75" t="str">
        <f>"৩৪৭"</f>
        <v>৩৪৭</v>
      </c>
      <c r="H1165" s="75" t="s">
        <v>319</v>
      </c>
      <c r="I1165" s="75" t="s">
        <v>319</v>
      </c>
      <c r="J1165" s="4"/>
    </row>
    <row r="1166" spans="1:10" x14ac:dyDescent="0.25">
      <c r="A1166" s="39">
        <v>1165</v>
      </c>
      <c r="B1166" s="3" t="s">
        <v>2774</v>
      </c>
      <c r="C1166" s="75" t="s">
        <v>2762</v>
      </c>
      <c r="D1166" s="75" t="s">
        <v>300</v>
      </c>
      <c r="E1166" s="75" t="str">
        <f t="shared" ref="E1166:E1171" si="18">"০"</f>
        <v>০</v>
      </c>
      <c r="F1166" s="22" t="str">
        <f>"811945781"</f>
        <v>811945781</v>
      </c>
      <c r="G1166" s="75" t="str">
        <f>"৩৪৬"</f>
        <v>৩৪৬</v>
      </c>
      <c r="H1166" s="75" t="s">
        <v>317</v>
      </c>
      <c r="I1166" s="75" t="s">
        <v>317</v>
      </c>
      <c r="J1166" s="4"/>
    </row>
    <row r="1167" spans="1:10" x14ac:dyDescent="0.25">
      <c r="A1167" s="39">
        <v>1166</v>
      </c>
      <c r="B1167" s="3" t="s">
        <v>1539</v>
      </c>
      <c r="C1167" s="75" t="s">
        <v>2775</v>
      </c>
      <c r="D1167" s="75" t="s">
        <v>300</v>
      </c>
      <c r="E1167" s="75" t="str">
        <f t="shared" si="18"/>
        <v>০</v>
      </c>
      <c r="F1167" s="22" t="str">
        <f>"8119457817386"</f>
        <v>8119457817386</v>
      </c>
      <c r="G1167" s="75" t="str">
        <f>"৩৪৫"</f>
        <v>৩৪৫</v>
      </c>
      <c r="H1167" s="75" t="s">
        <v>323</v>
      </c>
      <c r="I1167" s="75" t="s">
        <v>323</v>
      </c>
      <c r="J1167" s="4"/>
    </row>
    <row r="1168" spans="1:10" x14ac:dyDescent="0.25">
      <c r="A1168" s="39">
        <v>1167</v>
      </c>
      <c r="B1168" s="3" t="s">
        <v>1975</v>
      </c>
      <c r="C1168" s="75" t="s">
        <v>2776</v>
      </c>
      <c r="D1168" s="75" t="s">
        <v>301</v>
      </c>
      <c r="E1168" s="75" t="str">
        <f t="shared" si="18"/>
        <v>০</v>
      </c>
      <c r="F1168" s="22" t="str">
        <f>"8119457817402"</f>
        <v>8119457817402</v>
      </c>
      <c r="G1168" s="75" t="str">
        <f>"৩৪৪"</f>
        <v>৩৪৪</v>
      </c>
      <c r="H1168" s="75" t="s">
        <v>326</v>
      </c>
      <c r="I1168" s="75" t="s">
        <v>326</v>
      </c>
      <c r="J1168" s="4"/>
    </row>
    <row r="1169" spans="1:10" x14ac:dyDescent="0.25">
      <c r="A1169" s="39">
        <v>1168</v>
      </c>
      <c r="B1169" s="3" t="s">
        <v>2047</v>
      </c>
      <c r="C1169" s="75" t="s">
        <v>2777</v>
      </c>
      <c r="D1169" s="75" t="s">
        <v>300</v>
      </c>
      <c r="E1169" s="75" t="str">
        <f t="shared" si="18"/>
        <v>০</v>
      </c>
      <c r="F1169" s="22" t="str">
        <f>"8119457817407"</f>
        <v>8119457817407</v>
      </c>
      <c r="G1169" s="75" t="str">
        <f>"৩৪৩"</f>
        <v>৩৪৩</v>
      </c>
      <c r="H1169" s="75" t="s">
        <v>331</v>
      </c>
      <c r="I1169" s="75" t="s">
        <v>331</v>
      </c>
      <c r="J1169" s="4"/>
    </row>
    <row r="1170" spans="1:10" x14ac:dyDescent="0.25">
      <c r="A1170" s="39">
        <v>1169</v>
      </c>
      <c r="B1170" s="3" t="s">
        <v>2716</v>
      </c>
      <c r="C1170" s="75" t="s">
        <v>2742</v>
      </c>
      <c r="D1170" s="75" t="s">
        <v>300</v>
      </c>
      <c r="E1170" s="75" t="str">
        <f t="shared" si="18"/>
        <v>০</v>
      </c>
      <c r="F1170" s="22" t="str">
        <f>"8119457817226"</f>
        <v>8119457817226</v>
      </c>
      <c r="G1170" s="75" t="str">
        <f>"৩৪২"</f>
        <v>৩৪২</v>
      </c>
      <c r="H1170" s="75" t="s">
        <v>329</v>
      </c>
      <c r="I1170" s="75" t="s">
        <v>329</v>
      </c>
      <c r="J1170" s="4"/>
    </row>
    <row r="1171" spans="1:10" x14ac:dyDescent="0.25">
      <c r="A1171" s="39">
        <v>1170</v>
      </c>
      <c r="B1171" s="3" t="s">
        <v>2312</v>
      </c>
      <c r="C1171" s="75" t="s">
        <v>2778</v>
      </c>
      <c r="D1171" s="75" t="s">
        <v>309</v>
      </c>
      <c r="E1171" s="75" t="str">
        <f t="shared" si="18"/>
        <v>০</v>
      </c>
      <c r="F1171" s="22" t="str">
        <f>"8119457817197"</f>
        <v>8119457817197</v>
      </c>
      <c r="G1171" s="75" t="str">
        <f>"৩৪১"</f>
        <v>৩৪১</v>
      </c>
      <c r="H1171" s="75" t="s">
        <v>332</v>
      </c>
      <c r="I1171" s="75" t="s">
        <v>332</v>
      </c>
      <c r="J1171" s="4"/>
    </row>
    <row r="1172" spans="1:10" x14ac:dyDescent="0.25">
      <c r="A1172" s="39">
        <v>1171</v>
      </c>
      <c r="B1172" s="3" t="s">
        <v>2779</v>
      </c>
      <c r="C1172" s="75" t="s">
        <v>1973</v>
      </c>
      <c r="D1172" s="75" t="s">
        <v>301</v>
      </c>
      <c r="E1172" s="75" t="str">
        <f>"০১৭২৪৯৮২৮৮৮"</f>
        <v>০১৭২৪৯৮২৮৮৮</v>
      </c>
      <c r="F1172" s="22" t="str">
        <f>"8119457817248"</f>
        <v>8119457817248</v>
      </c>
      <c r="G1172" s="75" t="str">
        <f>"৩৪০"</f>
        <v>৩৪০</v>
      </c>
      <c r="H1172" s="75" t="s">
        <v>316</v>
      </c>
      <c r="I1172" s="75" t="s">
        <v>316</v>
      </c>
      <c r="J1172" s="4"/>
    </row>
    <row r="1173" spans="1:10" x14ac:dyDescent="0.25">
      <c r="A1173" s="39">
        <v>1172</v>
      </c>
      <c r="B1173" s="3" t="s">
        <v>2780</v>
      </c>
      <c r="C1173" s="75" t="s">
        <v>2683</v>
      </c>
      <c r="D1173" s="75" t="s">
        <v>304</v>
      </c>
      <c r="E1173" s="75" t="str">
        <f>"০"</f>
        <v>০</v>
      </c>
      <c r="F1173" s="22" t="str">
        <f>"8119457817194"</f>
        <v>8119457817194</v>
      </c>
      <c r="G1173" s="75" t="str">
        <f>"৩৩৯"</f>
        <v>৩৩৯</v>
      </c>
      <c r="H1173" s="75" t="s">
        <v>330</v>
      </c>
      <c r="I1173" s="75" t="s">
        <v>330</v>
      </c>
      <c r="J1173" s="4"/>
    </row>
    <row r="1174" spans="1:10" x14ac:dyDescent="0.25">
      <c r="A1174" s="39">
        <v>1173</v>
      </c>
      <c r="B1174" s="3" t="s">
        <v>2781</v>
      </c>
      <c r="C1174" s="75" t="s">
        <v>2389</v>
      </c>
      <c r="D1174" s="75" t="s">
        <v>301</v>
      </c>
      <c r="E1174" s="75" t="str">
        <f>"০"</f>
        <v>০</v>
      </c>
      <c r="F1174" s="22" t="str">
        <f>"8119457817268"</f>
        <v>8119457817268</v>
      </c>
      <c r="G1174" s="75" t="str">
        <f>"৩৩৮"</f>
        <v>৩৩৮</v>
      </c>
      <c r="H1174" s="75" t="s">
        <v>333</v>
      </c>
      <c r="I1174" s="75" t="s">
        <v>333</v>
      </c>
      <c r="J1174" s="4"/>
    </row>
    <row r="1175" spans="1:10" x14ac:dyDescent="0.25">
      <c r="A1175" s="39">
        <v>1174</v>
      </c>
      <c r="B1175" s="3" t="s">
        <v>2782</v>
      </c>
      <c r="C1175" s="75" t="s">
        <v>2783</v>
      </c>
      <c r="D1175" s="75" t="s">
        <v>301</v>
      </c>
      <c r="E1175" s="75" t="str">
        <f>"০"</f>
        <v>০</v>
      </c>
      <c r="F1175" s="22" t="str">
        <f>"8119457817422"</f>
        <v>8119457817422</v>
      </c>
      <c r="G1175" s="75" t="str">
        <f>"৩৩৭"</f>
        <v>৩৩৭</v>
      </c>
      <c r="H1175" s="75" t="s">
        <v>319</v>
      </c>
      <c r="I1175" s="75" t="s">
        <v>319</v>
      </c>
      <c r="J1175" s="4"/>
    </row>
    <row r="1176" spans="1:10" x14ac:dyDescent="0.25">
      <c r="A1176" s="39">
        <v>1175</v>
      </c>
      <c r="B1176" s="3" t="s">
        <v>1926</v>
      </c>
      <c r="C1176" s="75" t="s">
        <v>1927</v>
      </c>
      <c r="D1176" s="75" t="s">
        <v>300</v>
      </c>
      <c r="E1176" s="75" t="str">
        <f>"০১৭৯৩৫৪২৩১০"</f>
        <v>০১৭৯৩৫৪২৩১০</v>
      </c>
      <c r="F1176" s="22" t="str">
        <f>"8119457817233"</f>
        <v>8119457817233</v>
      </c>
      <c r="G1176" s="75" t="str">
        <f>"৩৩৬"</f>
        <v>৩৩৬</v>
      </c>
      <c r="H1176" s="75" t="s">
        <v>322</v>
      </c>
      <c r="I1176" s="75" t="s">
        <v>322</v>
      </c>
      <c r="J1176" s="4"/>
    </row>
    <row r="1177" spans="1:10" x14ac:dyDescent="0.25">
      <c r="A1177" s="39">
        <v>1176</v>
      </c>
      <c r="B1177" s="3" t="s">
        <v>1928</v>
      </c>
      <c r="C1177" s="75" t="s">
        <v>1929</v>
      </c>
      <c r="D1177" s="75" t="s">
        <v>301</v>
      </c>
      <c r="E1177" s="75" t="str">
        <f>"০১৭১৪৮৬৫০৫৪"</f>
        <v>০১৭১৪৮৬৫০৫৪</v>
      </c>
      <c r="F1177" s="22" t="str">
        <f>"8119457814930"</f>
        <v>8119457814930</v>
      </c>
      <c r="G1177" s="75" t="str">
        <f>"৩৩৫"</f>
        <v>৩৩৫</v>
      </c>
      <c r="H1177" s="75" t="s">
        <v>319</v>
      </c>
      <c r="I1177" s="75" t="s">
        <v>319</v>
      </c>
      <c r="J1177" s="4"/>
    </row>
    <row r="1178" spans="1:10" x14ac:dyDescent="0.25">
      <c r="A1178" s="39">
        <v>1177</v>
      </c>
      <c r="B1178" s="3" t="s">
        <v>1930</v>
      </c>
      <c r="C1178" s="75" t="s">
        <v>1929</v>
      </c>
      <c r="D1178" s="75" t="s">
        <v>301</v>
      </c>
      <c r="E1178" s="75" t="str">
        <f>"০১৭২৩০৮৪৫৭৮"</f>
        <v>০১৭২৩০৮৪৫৭৮</v>
      </c>
      <c r="F1178" s="22" t="str">
        <f>"8119457817384"</f>
        <v>8119457817384</v>
      </c>
      <c r="G1178" s="75" t="str">
        <f>"৩৩৪"</f>
        <v>৩৩৪</v>
      </c>
      <c r="H1178" s="75" t="s">
        <v>317</v>
      </c>
      <c r="I1178" s="75" t="s">
        <v>317</v>
      </c>
      <c r="J1178" s="4"/>
    </row>
    <row r="1179" spans="1:10" x14ac:dyDescent="0.25">
      <c r="A1179" s="39">
        <v>1178</v>
      </c>
      <c r="B1179" s="3" t="s">
        <v>1555</v>
      </c>
      <c r="C1179" s="75" t="s">
        <v>1931</v>
      </c>
      <c r="D1179" s="75" t="s">
        <v>300</v>
      </c>
      <c r="E1179" s="75" t="str">
        <f>"০১৭৩৬৪১০৭১৫"</f>
        <v>০১৭৩৬৪১০৭১৫</v>
      </c>
      <c r="F1179" s="22" t="str">
        <f>"8119457817395"</f>
        <v>8119457817395</v>
      </c>
      <c r="G1179" s="75" t="str">
        <f>"৩৩৩"</f>
        <v>৩৩৩</v>
      </c>
      <c r="H1179" s="75" t="s">
        <v>318</v>
      </c>
      <c r="I1179" s="75" t="s">
        <v>318</v>
      </c>
      <c r="J1179" s="4"/>
    </row>
    <row r="1180" spans="1:10" x14ac:dyDescent="0.25">
      <c r="A1180" s="39">
        <v>1179</v>
      </c>
      <c r="B1180" s="3" t="s">
        <v>1932</v>
      </c>
      <c r="C1180" s="75" t="s">
        <v>1933</v>
      </c>
      <c r="D1180" s="75" t="s">
        <v>301</v>
      </c>
      <c r="E1180" s="75" t="str">
        <f>"০"</f>
        <v>০</v>
      </c>
      <c r="F1180" s="22" t="str">
        <f>"8119457817394"</f>
        <v>8119457817394</v>
      </c>
      <c r="G1180" s="75" t="str">
        <f>"৩৩২"</f>
        <v>৩৩২</v>
      </c>
      <c r="H1180" s="75" t="s">
        <v>319</v>
      </c>
      <c r="I1180" s="75" t="s">
        <v>319</v>
      </c>
      <c r="J1180" s="4"/>
    </row>
    <row r="1181" spans="1:10" x14ac:dyDescent="0.25">
      <c r="A1181" s="39">
        <v>1180</v>
      </c>
      <c r="B1181" s="3" t="s">
        <v>1934</v>
      </c>
      <c r="C1181" s="75" t="s">
        <v>1785</v>
      </c>
      <c r="D1181" s="75" t="s">
        <v>301</v>
      </c>
      <c r="E1181" s="75" t="str">
        <f>"০"</f>
        <v>০</v>
      </c>
      <c r="F1181" s="22" t="str">
        <f>"8119457817425"</f>
        <v>8119457817425</v>
      </c>
      <c r="G1181" s="75" t="str">
        <f>"৩৩১"</f>
        <v>৩৩১</v>
      </c>
      <c r="H1181" s="75" t="s">
        <v>320</v>
      </c>
      <c r="I1181" s="75" t="s">
        <v>320</v>
      </c>
      <c r="J1181" s="4"/>
    </row>
    <row r="1182" spans="1:10" x14ac:dyDescent="0.25">
      <c r="A1182" s="39">
        <v>1181</v>
      </c>
      <c r="B1182" s="3" t="s">
        <v>1935</v>
      </c>
      <c r="C1182" s="75" t="s">
        <v>1936</v>
      </c>
      <c r="D1182" s="75" t="s">
        <v>300</v>
      </c>
      <c r="E1182" s="75" t="str">
        <f>"০"</f>
        <v>০</v>
      </c>
      <c r="F1182" s="22" t="str">
        <f>"811945781"</f>
        <v>811945781</v>
      </c>
      <c r="G1182" s="75" t="str">
        <f>"৩৩০"</f>
        <v>৩৩০</v>
      </c>
      <c r="H1182" s="75" t="s">
        <v>315</v>
      </c>
      <c r="I1182" s="75" t="s">
        <v>315</v>
      </c>
      <c r="J1182" s="4"/>
    </row>
    <row r="1183" spans="1:10" x14ac:dyDescent="0.25">
      <c r="A1183" s="39">
        <v>1182</v>
      </c>
      <c r="B1183" s="3" t="s">
        <v>1937</v>
      </c>
      <c r="C1183" s="75" t="s">
        <v>1938</v>
      </c>
      <c r="D1183" s="75" t="s">
        <v>300</v>
      </c>
      <c r="E1183" s="75" t="str">
        <f>"০১৭৫০২৯৪২৯৫"</f>
        <v>০১৭৫০২৯৪২৯৫</v>
      </c>
      <c r="F1183" s="22" t="str">
        <f>"8119457817052"</f>
        <v>8119457817052</v>
      </c>
      <c r="G1183" s="75" t="str">
        <f>"৩২৯"</f>
        <v>৩২৯</v>
      </c>
      <c r="H1183" s="75" t="s">
        <v>313</v>
      </c>
      <c r="I1183" s="75" t="s">
        <v>313</v>
      </c>
      <c r="J1183" s="4"/>
    </row>
    <row r="1184" spans="1:10" x14ac:dyDescent="0.25">
      <c r="A1184" s="39">
        <v>1183</v>
      </c>
      <c r="B1184" s="3" t="s">
        <v>1939</v>
      </c>
      <c r="C1184" s="75" t="s">
        <v>1940</v>
      </c>
      <c r="D1184" s="75" t="s">
        <v>300</v>
      </c>
      <c r="E1184" s="75" t="str">
        <f>"০১৯৩৮৭৬১১৮০"</f>
        <v>০১৯৩৮৭৬১১৮০</v>
      </c>
      <c r="F1184" s="22" t="str">
        <f>"8119457817334"</f>
        <v>8119457817334</v>
      </c>
      <c r="G1184" s="75" t="str">
        <f>"৩২৮"</f>
        <v>৩২৮</v>
      </c>
      <c r="H1184" s="75" t="s">
        <v>314</v>
      </c>
      <c r="I1184" s="75" t="s">
        <v>314</v>
      </c>
      <c r="J1184" s="4"/>
    </row>
    <row r="1185" spans="1:10" x14ac:dyDescent="0.25">
      <c r="A1185" s="39">
        <v>1184</v>
      </c>
      <c r="B1185" s="3" t="s">
        <v>1941</v>
      </c>
      <c r="C1185" s="75" t="s">
        <v>1942</v>
      </c>
      <c r="D1185" s="75" t="s">
        <v>300</v>
      </c>
      <c r="E1185" s="75" t="str">
        <f>"০১৭৮৭১৬৮২৯১"</f>
        <v>০১৭৮৭১৬৮২৯১</v>
      </c>
      <c r="F1185" s="22" t="str">
        <f>"8119457817139"</f>
        <v>8119457817139</v>
      </c>
      <c r="G1185" s="75" t="str">
        <f>"৩২৭"</f>
        <v>৩২৭</v>
      </c>
      <c r="H1185" s="75" t="s">
        <v>321</v>
      </c>
      <c r="I1185" s="75" t="s">
        <v>321</v>
      </c>
      <c r="J1185" s="4"/>
    </row>
    <row r="1186" spans="1:10" x14ac:dyDescent="0.25">
      <c r="A1186" s="39">
        <v>1185</v>
      </c>
      <c r="B1186" s="3" t="s">
        <v>2784</v>
      </c>
      <c r="C1186" s="75" t="s">
        <v>2785</v>
      </c>
      <c r="D1186" s="75" t="s">
        <v>301</v>
      </c>
      <c r="E1186" s="75" t="str">
        <f t="shared" ref="E1186:E1191" si="19">"০"</f>
        <v>০</v>
      </c>
      <c r="F1186" s="22" t="str">
        <f>"8119457817054"</f>
        <v>8119457817054</v>
      </c>
      <c r="G1186" s="75" t="str">
        <f>"৩২৬"</f>
        <v>৩২৬</v>
      </c>
      <c r="H1186" s="75" t="s">
        <v>322</v>
      </c>
      <c r="I1186" s="75" t="s">
        <v>322</v>
      </c>
      <c r="J1186" s="4"/>
    </row>
    <row r="1187" spans="1:10" x14ac:dyDescent="0.25">
      <c r="A1187" s="39">
        <v>1186</v>
      </c>
      <c r="B1187" s="3" t="s">
        <v>2786</v>
      </c>
      <c r="C1187" s="75" t="s">
        <v>2787</v>
      </c>
      <c r="D1187" s="75" t="s">
        <v>301</v>
      </c>
      <c r="E1187" s="75" t="str">
        <f t="shared" si="19"/>
        <v>০</v>
      </c>
      <c r="F1187" s="22" t="str">
        <f>"8119457817296"</f>
        <v>8119457817296</v>
      </c>
      <c r="G1187" s="75" t="str">
        <f>"৩২৫"</f>
        <v>৩২৫</v>
      </c>
      <c r="H1187" s="75" t="s">
        <v>314</v>
      </c>
      <c r="I1187" s="75" t="s">
        <v>314</v>
      </c>
      <c r="J1187" s="4"/>
    </row>
    <row r="1188" spans="1:10" x14ac:dyDescent="0.25">
      <c r="A1188" s="39">
        <v>1187</v>
      </c>
      <c r="B1188" s="3" t="s">
        <v>2788</v>
      </c>
      <c r="C1188" s="75" t="s">
        <v>2637</v>
      </c>
      <c r="D1188" s="75" t="s">
        <v>301</v>
      </c>
      <c r="E1188" s="75" t="str">
        <f t="shared" si="19"/>
        <v>০</v>
      </c>
      <c r="F1188" s="22" t="str">
        <f>"8119457817327"</f>
        <v>8119457817327</v>
      </c>
      <c r="G1188" s="75" t="str">
        <f>"৩২৪"</f>
        <v>৩২৪</v>
      </c>
      <c r="H1188" s="75" t="s">
        <v>323</v>
      </c>
      <c r="I1188" s="75" t="s">
        <v>323</v>
      </c>
      <c r="J1188" s="4"/>
    </row>
    <row r="1189" spans="1:10" x14ac:dyDescent="0.25">
      <c r="A1189" s="39">
        <v>1188</v>
      </c>
      <c r="B1189" s="3" t="s">
        <v>2279</v>
      </c>
      <c r="C1189" s="75" t="s">
        <v>1970</v>
      </c>
      <c r="D1189" s="75" t="s">
        <v>301</v>
      </c>
      <c r="E1189" s="75" t="str">
        <f t="shared" si="19"/>
        <v>০</v>
      </c>
      <c r="F1189" s="22" t="str">
        <f>"8119457817391"</f>
        <v>8119457817391</v>
      </c>
      <c r="G1189" s="75" t="str">
        <f>"৩২২"</f>
        <v>৩২২</v>
      </c>
      <c r="H1189" s="75" t="s">
        <v>324</v>
      </c>
      <c r="I1189" s="75" t="s">
        <v>324</v>
      </c>
      <c r="J1189" s="4"/>
    </row>
    <row r="1190" spans="1:10" x14ac:dyDescent="0.25">
      <c r="A1190" s="39">
        <v>1189</v>
      </c>
      <c r="B1190" s="3" t="s">
        <v>2789</v>
      </c>
      <c r="C1190" s="75" t="s">
        <v>2735</v>
      </c>
      <c r="D1190" s="75" t="s">
        <v>301</v>
      </c>
      <c r="E1190" s="75" t="str">
        <f t="shared" si="19"/>
        <v>০</v>
      </c>
      <c r="F1190" s="22" t="str">
        <f>"8119457817228"</f>
        <v>8119457817228</v>
      </c>
      <c r="G1190" s="75" t="str">
        <f>"৩২১"</f>
        <v>৩২১</v>
      </c>
      <c r="H1190" s="75" t="s">
        <v>325</v>
      </c>
      <c r="I1190" s="75" t="s">
        <v>325</v>
      </c>
      <c r="J1190" s="4"/>
    </row>
    <row r="1191" spans="1:10" x14ac:dyDescent="0.25">
      <c r="A1191" s="39">
        <v>1190</v>
      </c>
      <c r="B1191" s="3" t="s">
        <v>2790</v>
      </c>
      <c r="C1191" s="75" t="s">
        <v>2791</v>
      </c>
      <c r="D1191" s="75" t="s">
        <v>301</v>
      </c>
      <c r="E1191" s="75" t="str">
        <f t="shared" si="19"/>
        <v>০</v>
      </c>
      <c r="F1191" s="22" t="str">
        <f>"8119457817421"</f>
        <v>8119457817421</v>
      </c>
      <c r="G1191" s="75" t="str">
        <f>"৩২০"</f>
        <v>৩২০</v>
      </c>
      <c r="H1191" s="75" t="s">
        <v>319</v>
      </c>
      <c r="I1191" s="75" t="s">
        <v>319</v>
      </c>
      <c r="J1191" s="4"/>
    </row>
    <row r="1192" spans="1:10" x14ac:dyDescent="0.25">
      <c r="A1192" s="39">
        <v>1191</v>
      </c>
      <c r="B1192" s="3" t="s">
        <v>1726</v>
      </c>
      <c r="C1192" s="75" t="s">
        <v>2409</v>
      </c>
      <c r="D1192" s="75" t="s">
        <v>300</v>
      </c>
      <c r="E1192" s="75" t="str">
        <f>"০১৭২২৯৬৯১৪০"</f>
        <v>০১৭২২৯৬৯১৪০</v>
      </c>
      <c r="F1192" s="22" t="str">
        <f>"8119457810024"</f>
        <v>8119457810024</v>
      </c>
      <c r="G1192" s="75" t="str">
        <f>"৩১৯"</f>
        <v>৩১৯</v>
      </c>
      <c r="H1192" s="75" t="s">
        <v>326</v>
      </c>
      <c r="I1192" s="75" t="s">
        <v>326</v>
      </c>
      <c r="J1192" s="4"/>
    </row>
    <row r="1193" spans="1:10" x14ac:dyDescent="0.25">
      <c r="A1193" s="39">
        <v>1192</v>
      </c>
      <c r="B1193" s="3" t="s">
        <v>1563</v>
      </c>
      <c r="C1193" s="75" t="s">
        <v>1961</v>
      </c>
      <c r="D1193" s="75" t="s">
        <v>300</v>
      </c>
      <c r="E1193" s="75" t="str">
        <f>"০১৮২২০৪১৯০৫"</f>
        <v>০১৮২২০৪১৯০৫</v>
      </c>
      <c r="F1193" s="22" t="str">
        <f>"8119457817265"</f>
        <v>8119457817265</v>
      </c>
      <c r="G1193" s="75" t="str">
        <f>"৩১৮"</f>
        <v>৩১৮</v>
      </c>
      <c r="H1193" s="75" t="s">
        <v>327</v>
      </c>
      <c r="I1193" s="75" t="s">
        <v>327</v>
      </c>
      <c r="J1193" s="4"/>
    </row>
    <row r="1194" spans="1:10" x14ac:dyDescent="0.25">
      <c r="A1194" s="39">
        <v>1193</v>
      </c>
      <c r="B1194" s="3" t="s">
        <v>2792</v>
      </c>
      <c r="C1194" s="75" t="s">
        <v>2793</v>
      </c>
      <c r="D1194" s="75" t="s">
        <v>301</v>
      </c>
      <c r="E1194" s="75" t="str">
        <f t="shared" ref="E1194:E1257" si="20">"০"</f>
        <v>০</v>
      </c>
      <c r="F1194" s="22" t="str">
        <f>"8119457817363"</f>
        <v>8119457817363</v>
      </c>
      <c r="G1194" s="75" t="str">
        <f>"৩১৭"</f>
        <v>৩১৭</v>
      </c>
      <c r="H1194" s="75" t="s">
        <v>328</v>
      </c>
      <c r="I1194" s="75" t="s">
        <v>328</v>
      </c>
      <c r="J1194" s="4"/>
    </row>
    <row r="1195" spans="1:10" x14ac:dyDescent="0.25">
      <c r="A1195" s="39">
        <v>1194</v>
      </c>
      <c r="B1195" s="3" t="s">
        <v>2794</v>
      </c>
      <c r="C1195" s="75" t="s">
        <v>2795</v>
      </c>
      <c r="D1195" s="75" t="s">
        <v>301</v>
      </c>
      <c r="E1195" s="75" t="str">
        <f t="shared" si="20"/>
        <v>০</v>
      </c>
      <c r="F1195" s="22" t="str">
        <f>"8119457817405"</f>
        <v>8119457817405</v>
      </c>
      <c r="G1195" s="75" t="str">
        <f>"৩১৬"</f>
        <v>৩১৬</v>
      </c>
      <c r="H1195" s="75" t="s">
        <v>329</v>
      </c>
      <c r="I1195" s="75" t="s">
        <v>329</v>
      </c>
      <c r="J1195" s="4"/>
    </row>
    <row r="1196" spans="1:10" x14ac:dyDescent="0.25">
      <c r="A1196" s="39">
        <v>1195</v>
      </c>
      <c r="B1196" s="3" t="s">
        <v>2796</v>
      </c>
      <c r="C1196" s="75" t="s">
        <v>2797</v>
      </c>
      <c r="D1196" s="75" t="s">
        <v>301</v>
      </c>
      <c r="E1196" s="75" t="str">
        <f t="shared" si="20"/>
        <v>০</v>
      </c>
      <c r="F1196" s="22" t="str">
        <f>"8119457817412"</f>
        <v>8119457817412</v>
      </c>
      <c r="G1196" s="75" t="str">
        <f>"৩১৫"</f>
        <v>৩১৫</v>
      </c>
      <c r="H1196" s="75" t="s">
        <v>330</v>
      </c>
      <c r="I1196" s="75" t="s">
        <v>330</v>
      </c>
      <c r="J1196" s="4"/>
    </row>
    <row r="1197" spans="1:10" x14ac:dyDescent="0.25">
      <c r="A1197" s="39">
        <v>1196</v>
      </c>
      <c r="B1197" s="3" t="s">
        <v>2798</v>
      </c>
      <c r="C1197" s="75" t="s">
        <v>2799</v>
      </c>
      <c r="D1197" s="75" t="s">
        <v>300</v>
      </c>
      <c r="E1197" s="75" t="str">
        <f t="shared" si="20"/>
        <v>০</v>
      </c>
      <c r="F1197" s="22" t="str">
        <f>"8119457817374"</f>
        <v>8119457817374</v>
      </c>
      <c r="G1197" s="75" t="str">
        <f>"৩১৪"</f>
        <v>৩১৪</v>
      </c>
      <c r="H1197" s="75" t="s">
        <v>319</v>
      </c>
      <c r="I1197" s="75" t="s">
        <v>319</v>
      </c>
      <c r="J1197" s="4"/>
    </row>
    <row r="1198" spans="1:10" x14ac:dyDescent="0.25">
      <c r="A1198" s="39">
        <v>1197</v>
      </c>
      <c r="B1198" s="3" t="s">
        <v>2800</v>
      </c>
      <c r="C1198" s="75" t="s">
        <v>2685</v>
      </c>
      <c r="D1198" s="75" t="s">
        <v>301</v>
      </c>
      <c r="E1198" s="75" t="str">
        <f t="shared" si="20"/>
        <v>০</v>
      </c>
      <c r="F1198" s="22" t="str">
        <f>"8119457817250"</f>
        <v>8119457817250</v>
      </c>
      <c r="G1198" s="75" t="str">
        <f>"৩১৩"</f>
        <v>৩১৩</v>
      </c>
      <c r="H1198" s="75" t="s">
        <v>317</v>
      </c>
      <c r="I1198" s="75" t="s">
        <v>317</v>
      </c>
      <c r="J1198" s="4"/>
    </row>
    <row r="1199" spans="1:10" x14ac:dyDescent="0.25">
      <c r="A1199" s="39">
        <v>1198</v>
      </c>
      <c r="B1199" s="12"/>
      <c r="C1199" s="77"/>
      <c r="D1199" s="77"/>
      <c r="E1199" s="77"/>
      <c r="F1199" s="23"/>
      <c r="G1199" s="77"/>
      <c r="H1199" s="77"/>
      <c r="I1199" s="77"/>
      <c r="J1199" s="13"/>
    </row>
    <row r="1200" spans="1:10" x14ac:dyDescent="0.25">
      <c r="A1200" s="39">
        <v>1199</v>
      </c>
      <c r="B1200" s="3" t="s">
        <v>2091</v>
      </c>
      <c r="C1200" s="75" t="s">
        <v>2801</v>
      </c>
      <c r="D1200" s="75" t="s">
        <v>310</v>
      </c>
      <c r="E1200" s="75" t="str">
        <f t="shared" si="20"/>
        <v>০</v>
      </c>
      <c r="F1200" s="22" t="str">
        <f>"8119457817229"</f>
        <v>8119457817229</v>
      </c>
      <c r="G1200" s="75" t="str">
        <f>"৩১১"</f>
        <v>৩১১</v>
      </c>
      <c r="H1200" s="75" t="s">
        <v>326</v>
      </c>
      <c r="I1200" s="75" t="s">
        <v>326</v>
      </c>
      <c r="J1200" s="4"/>
    </row>
    <row r="1201" spans="1:10" x14ac:dyDescent="0.25">
      <c r="A1201" s="39">
        <v>1200</v>
      </c>
      <c r="B1201" s="3" t="s">
        <v>3</v>
      </c>
      <c r="C1201" s="75" t="s">
        <v>182</v>
      </c>
      <c r="D1201" s="75" t="s">
        <v>310</v>
      </c>
      <c r="E1201" s="75" t="str">
        <f t="shared" si="20"/>
        <v>০</v>
      </c>
      <c r="F1201" s="22" t="str">
        <f>"8119457817199"</f>
        <v>8119457817199</v>
      </c>
      <c r="G1201" s="75" t="str">
        <f>"৩১০"</f>
        <v>৩১০</v>
      </c>
      <c r="H1201" s="75" t="s">
        <v>331</v>
      </c>
      <c r="I1201" s="75" t="s">
        <v>331</v>
      </c>
      <c r="J1201" s="4"/>
    </row>
    <row r="1202" spans="1:10" x14ac:dyDescent="0.25">
      <c r="A1202" s="39">
        <v>1201</v>
      </c>
      <c r="B1202" s="11" t="s">
        <v>2802</v>
      </c>
      <c r="C1202" s="75" t="s">
        <v>2803</v>
      </c>
      <c r="D1202" s="75" t="s">
        <v>310</v>
      </c>
      <c r="E1202" s="75" t="str">
        <f t="shared" si="20"/>
        <v>০</v>
      </c>
      <c r="F1202" s="22" t="str">
        <f>"8119457817430"</f>
        <v>8119457817430</v>
      </c>
      <c r="G1202" s="75" t="str">
        <f>"৩০৯"</f>
        <v>৩০৯</v>
      </c>
      <c r="H1202" s="75" t="s">
        <v>329</v>
      </c>
      <c r="I1202" s="75" t="s">
        <v>329</v>
      </c>
      <c r="J1202" s="4"/>
    </row>
    <row r="1203" spans="1:10" x14ac:dyDescent="0.25">
      <c r="A1203" s="39">
        <v>1202</v>
      </c>
      <c r="B1203" s="3" t="s">
        <v>4</v>
      </c>
      <c r="C1203" s="75" t="s">
        <v>183</v>
      </c>
      <c r="D1203" s="75" t="s">
        <v>310</v>
      </c>
      <c r="E1203" s="75" t="str">
        <f t="shared" si="20"/>
        <v>০</v>
      </c>
      <c r="F1203" s="22" t="str">
        <f>"8119457817337"</f>
        <v>8119457817337</v>
      </c>
      <c r="G1203" s="75" t="str">
        <f>"৩০৮"</f>
        <v>৩০৮</v>
      </c>
      <c r="H1203" s="75" t="s">
        <v>332</v>
      </c>
      <c r="I1203" s="75" t="s">
        <v>332</v>
      </c>
      <c r="J1203" s="4"/>
    </row>
    <row r="1204" spans="1:10" x14ac:dyDescent="0.25">
      <c r="A1204" s="39">
        <v>1203</v>
      </c>
      <c r="B1204" s="3" t="s">
        <v>5</v>
      </c>
      <c r="C1204" s="75" t="s">
        <v>184</v>
      </c>
      <c r="D1204" s="75" t="s">
        <v>310</v>
      </c>
      <c r="E1204" s="75" t="str">
        <f t="shared" si="20"/>
        <v>০</v>
      </c>
      <c r="F1204" s="22" t="str">
        <f>"8119457817419"</f>
        <v>8119457817419</v>
      </c>
      <c r="G1204" s="75" t="str">
        <f>"৩০৭"</f>
        <v>৩০৭</v>
      </c>
      <c r="H1204" s="75" t="s">
        <v>316</v>
      </c>
      <c r="I1204" s="75" t="s">
        <v>316</v>
      </c>
      <c r="J1204" s="4"/>
    </row>
    <row r="1205" spans="1:10" x14ac:dyDescent="0.25">
      <c r="A1205" s="39">
        <v>1204</v>
      </c>
      <c r="B1205" s="3" t="s">
        <v>6</v>
      </c>
      <c r="C1205" s="75" t="s">
        <v>185</v>
      </c>
      <c r="D1205" s="75" t="s">
        <v>310</v>
      </c>
      <c r="E1205" s="75" t="str">
        <f t="shared" si="20"/>
        <v>০</v>
      </c>
      <c r="F1205" s="22" t="str">
        <f>"8119457817403"</f>
        <v>8119457817403</v>
      </c>
      <c r="G1205" s="75" t="str">
        <f>"৩০৬"</f>
        <v>৩০৬</v>
      </c>
      <c r="H1205" s="75" t="s">
        <v>330</v>
      </c>
      <c r="I1205" s="75" t="s">
        <v>330</v>
      </c>
      <c r="J1205" s="4"/>
    </row>
    <row r="1206" spans="1:10" x14ac:dyDescent="0.25">
      <c r="A1206" s="39">
        <v>1205</v>
      </c>
      <c r="B1206" s="3" t="s">
        <v>7</v>
      </c>
      <c r="C1206" s="75" t="s">
        <v>186</v>
      </c>
      <c r="D1206" s="75" t="s">
        <v>310</v>
      </c>
      <c r="E1206" s="75" t="str">
        <f t="shared" si="20"/>
        <v>০</v>
      </c>
      <c r="F1206" s="22" t="str">
        <f>"8119457817388"</f>
        <v>8119457817388</v>
      </c>
      <c r="G1206" s="75" t="str">
        <f>"৩০৫"</f>
        <v>৩০৫</v>
      </c>
      <c r="H1206" s="75" t="s">
        <v>333</v>
      </c>
      <c r="I1206" s="75" t="s">
        <v>333</v>
      </c>
      <c r="J1206" s="4"/>
    </row>
    <row r="1207" spans="1:10" x14ac:dyDescent="0.25">
      <c r="A1207" s="39">
        <v>1206</v>
      </c>
      <c r="B1207" s="3" t="s">
        <v>2804</v>
      </c>
      <c r="C1207" s="75" t="s">
        <v>2805</v>
      </c>
      <c r="D1207" s="75" t="s">
        <v>310</v>
      </c>
      <c r="E1207" s="75" t="str">
        <f t="shared" si="20"/>
        <v>০</v>
      </c>
      <c r="F1207" s="22" t="str">
        <f>"8119457817130"</f>
        <v>8119457817130</v>
      </c>
      <c r="G1207" s="75" t="str">
        <f>"৩০৪"</f>
        <v>৩০৪</v>
      </c>
      <c r="H1207" s="75" t="s">
        <v>319</v>
      </c>
      <c r="I1207" s="75" t="s">
        <v>319</v>
      </c>
      <c r="J1207" s="4"/>
    </row>
    <row r="1208" spans="1:10" x14ac:dyDescent="0.25">
      <c r="A1208" s="39">
        <v>1207</v>
      </c>
      <c r="B1208" s="3" t="s">
        <v>2806</v>
      </c>
      <c r="C1208" s="75" t="s">
        <v>2807</v>
      </c>
      <c r="D1208" s="75" t="s">
        <v>310</v>
      </c>
      <c r="E1208" s="75" t="str">
        <f t="shared" si="20"/>
        <v>০</v>
      </c>
      <c r="F1208" s="22" t="str">
        <f>"8119457817392"</f>
        <v>8119457817392</v>
      </c>
      <c r="G1208" s="75" t="str">
        <f>"৩০৩"</f>
        <v>৩০৩</v>
      </c>
      <c r="H1208" s="75" t="s">
        <v>322</v>
      </c>
      <c r="I1208" s="75" t="s">
        <v>322</v>
      </c>
      <c r="J1208" s="4"/>
    </row>
    <row r="1209" spans="1:10" x14ac:dyDescent="0.25">
      <c r="A1209" s="39">
        <v>1208</v>
      </c>
      <c r="B1209" s="3" t="s">
        <v>2808</v>
      </c>
      <c r="C1209" s="75" t="s">
        <v>1680</v>
      </c>
      <c r="D1209" s="75" t="s">
        <v>310</v>
      </c>
      <c r="E1209" s="75" t="str">
        <f t="shared" si="20"/>
        <v>০</v>
      </c>
      <c r="F1209" s="22" t="str">
        <f>"8119457817562"</f>
        <v>8119457817562</v>
      </c>
      <c r="G1209" s="75" t="str">
        <f>"৩০২"</f>
        <v>৩০২</v>
      </c>
      <c r="H1209" s="75" t="s">
        <v>319</v>
      </c>
      <c r="I1209" s="75" t="s">
        <v>319</v>
      </c>
      <c r="J1209" s="4"/>
    </row>
    <row r="1210" spans="1:10" x14ac:dyDescent="0.25">
      <c r="A1210" s="39">
        <v>1209</v>
      </c>
      <c r="B1210" s="3" t="s">
        <v>2809</v>
      </c>
      <c r="C1210" s="75" t="s">
        <v>2810</v>
      </c>
      <c r="D1210" s="75" t="s">
        <v>310</v>
      </c>
      <c r="E1210" s="75" t="str">
        <f t="shared" si="20"/>
        <v>০</v>
      </c>
      <c r="F1210" s="22" t="str">
        <f>"8119457810239"</f>
        <v>8119457810239</v>
      </c>
      <c r="G1210" s="75" t="str">
        <f>"৩০১"</f>
        <v>৩০১</v>
      </c>
      <c r="H1210" s="75" t="s">
        <v>315</v>
      </c>
      <c r="I1210" s="75" t="s">
        <v>315</v>
      </c>
      <c r="J1210" s="4"/>
    </row>
    <row r="1211" spans="1:10" x14ac:dyDescent="0.25">
      <c r="A1211" s="39">
        <v>1210</v>
      </c>
      <c r="B1211" s="3" t="s">
        <v>1970</v>
      </c>
      <c r="C1211" s="75" t="s">
        <v>2811</v>
      </c>
      <c r="D1211" s="75" t="s">
        <v>310</v>
      </c>
      <c r="E1211" s="75" t="str">
        <f t="shared" si="20"/>
        <v>০</v>
      </c>
      <c r="F1211" s="22" t="str">
        <f>"8119457817393"</f>
        <v>8119457817393</v>
      </c>
      <c r="G1211" s="75" t="str">
        <f>"৩০০"</f>
        <v>৩০০</v>
      </c>
      <c r="H1211" s="75" t="s">
        <v>316</v>
      </c>
      <c r="I1211" s="75" t="s">
        <v>316</v>
      </c>
      <c r="J1211" s="4"/>
    </row>
    <row r="1212" spans="1:10" x14ac:dyDescent="0.25">
      <c r="A1212" s="39">
        <v>1211</v>
      </c>
      <c r="B1212" s="3" t="s">
        <v>2046</v>
      </c>
      <c r="C1212" s="75" t="s">
        <v>1693</v>
      </c>
      <c r="D1212" s="75" t="s">
        <v>310</v>
      </c>
      <c r="E1212" s="75" t="str">
        <f t="shared" si="20"/>
        <v>০</v>
      </c>
      <c r="F1212" s="22" t="str">
        <f>"8119457817389"</f>
        <v>8119457817389</v>
      </c>
      <c r="G1212" s="75" t="str">
        <f>"২৯৯"</f>
        <v>২৯৯</v>
      </c>
      <c r="H1212" s="75" t="s">
        <v>317</v>
      </c>
      <c r="I1212" s="75" t="s">
        <v>317</v>
      </c>
      <c r="J1212" s="4"/>
    </row>
    <row r="1213" spans="1:10" x14ac:dyDescent="0.25">
      <c r="A1213" s="39">
        <v>1212</v>
      </c>
      <c r="B1213" s="3" t="s">
        <v>2812</v>
      </c>
      <c r="C1213" s="75" t="s">
        <v>2813</v>
      </c>
      <c r="D1213" s="75" t="s">
        <v>310</v>
      </c>
      <c r="E1213" s="75" t="str">
        <f t="shared" si="20"/>
        <v>০</v>
      </c>
      <c r="F1213" s="22" t="str">
        <f>"811945781713"</f>
        <v>811945781713</v>
      </c>
      <c r="G1213" s="75" t="str">
        <f>"২৯৮"</f>
        <v>২৯৮</v>
      </c>
      <c r="H1213" s="75" t="s">
        <v>318</v>
      </c>
      <c r="I1213" s="75" t="s">
        <v>318</v>
      </c>
      <c r="J1213" s="4"/>
    </row>
    <row r="1214" spans="1:10" x14ac:dyDescent="0.25">
      <c r="A1214" s="39">
        <v>1213</v>
      </c>
      <c r="B1214" s="3" t="s">
        <v>2814</v>
      </c>
      <c r="C1214" s="75" t="s">
        <v>2291</v>
      </c>
      <c r="D1214" s="75" t="s">
        <v>310</v>
      </c>
      <c r="E1214" s="75" t="str">
        <f t="shared" si="20"/>
        <v>০</v>
      </c>
      <c r="F1214" s="22" t="str">
        <f>"8119457817126"</f>
        <v>8119457817126</v>
      </c>
      <c r="G1214" s="75" t="str">
        <f>"২৯৭"</f>
        <v>২৯৭</v>
      </c>
      <c r="H1214" s="75" t="s">
        <v>319</v>
      </c>
      <c r="I1214" s="75" t="s">
        <v>319</v>
      </c>
      <c r="J1214" s="4"/>
    </row>
    <row r="1215" spans="1:10" x14ac:dyDescent="0.25">
      <c r="A1215" s="39">
        <v>1214</v>
      </c>
      <c r="B1215" s="3" t="s">
        <v>2815</v>
      </c>
      <c r="C1215" s="75" t="s">
        <v>2816</v>
      </c>
      <c r="D1215" s="75" t="s">
        <v>310</v>
      </c>
      <c r="E1215" s="75" t="str">
        <f t="shared" si="20"/>
        <v>০</v>
      </c>
      <c r="F1215" s="22" t="str">
        <f>"8119457817353"</f>
        <v>8119457817353</v>
      </c>
      <c r="G1215" s="75" t="str">
        <f>"২৯৬"</f>
        <v>২৯৬</v>
      </c>
      <c r="H1215" s="75" t="s">
        <v>320</v>
      </c>
      <c r="I1215" s="75" t="s">
        <v>320</v>
      </c>
      <c r="J1215" s="4"/>
    </row>
    <row r="1216" spans="1:10" x14ac:dyDescent="0.25">
      <c r="A1216" s="39">
        <v>1215</v>
      </c>
      <c r="B1216" s="3" t="s">
        <v>8</v>
      </c>
      <c r="C1216" s="75" t="s">
        <v>187</v>
      </c>
      <c r="D1216" s="75" t="s">
        <v>310</v>
      </c>
      <c r="E1216" s="75" t="str">
        <f t="shared" si="20"/>
        <v>০</v>
      </c>
      <c r="F1216" s="22" t="str">
        <f>"8119457817082"</f>
        <v>8119457817082</v>
      </c>
      <c r="G1216" s="75" t="str">
        <f>"২৯৫"</f>
        <v>২৯৫</v>
      </c>
      <c r="H1216" s="75" t="s">
        <v>315</v>
      </c>
      <c r="I1216" s="75" t="s">
        <v>315</v>
      </c>
      <c r="J1216" s="4"/>
    </row>
    <row r="1217" spans="1:10" x14ac:dyDescent="0.25">
      <c r="A1217" s="39">
        <v>1216</v>
      </c>
      <c r="B1217" s="3" t="s">
        <v>9</v>
      </c>
      <c r="C1217" s="75" t="s">
        <v>187</v>
      </c>
      <c r="D1217" s="75" t="s">
        <v>310</v>
      </c>
      <c r="E1217" s="75" t="str">
        <f t="shared" si="20"/>
        <v>০</v>
      </c>
      <c r="F1217" s="22" t="str">
        <f>"8119457817368"</f>
        <v>8119457817368</v>
      </c>
      <c r="G1217" s="75" t="str">
        <f>"২৯৪"</f>
        <v>২৯৪</v>
      </c>
      <c r="H1217" s="75" t="s">
        <v>313</v>
      </c>
      <c r="I1217" s="75" t="s">
        <v>313</v>
      </c>
      <c r="J1217" s="4"/>
    </row>
    <row r="1218" spans="1:10" x14ac:dyDescent="0.25">
      <c r="A1218" s="39">
        <v>1217</v>
      </c>
      <c r="B1218" s="3" t="s">
        <v>2817</v>
      </c>
      <c r="C1218" s="75" t="s">
        <v>2818</v>
      </c>
      <c r="D1218" s="75" t="s">
        <v>310</v>
      </c>
      <c r="E1218" s="75" t="str">
        <f t="shared" si="20"/>
        <v>০</v>
      </c>
      <c r="F1218" s="22" t="str">
        <f>"8119457817172"</f>
        <v>8119457817172</v>
      </c>
      <c r="G1218" s="75" t="str">
        <f>"২৯৩"</f>
        <v>২৯৩</v>
      </c>
      <c r="H1218" s="75" t="s">
        <v>314</v>
      </c>
      <c r="I1218" s="75" t="s">
        <v>314</v>
      </c>
      <c r="J1218" s="4"/>
    </row>
    <row r="1219" spans="1:10" x14ac:dyDescent="0.25">
      <c r="A1219" s="39">
        <v>1218</v>
      </c>
      <c r="B1219" s="3" t="s">
        <v>10</v>
      </c>
      <c r="C1219" s="75" t="s">
        <v>188</v>
      </c>
      <c r="D1219" s="75" t="s">
        <v>310</v>
      </c>
      <c r="E1219" s="75" t="str">
        <f t="shared" si="20"/>
        <v>০</v>
      </c>
      <c r="F1219" s="22" t="str">
        <f>"8119457817316"</f>
        <v>8119457817316</v>
      </c>
      <c r="G1219" s="75" t="str">
        <f>"২৯২"</f>
        <v>২৯২</v>
      </c>
      <c r="H1219" s="75" t="s">
        <v>321</v>
      </c>
      <c r="I1219" s="75" t="s">
        <v>321</v>
      </c>
      <c r="J1219" s="4"/>
    </row>
    <row r="1220" spans="1:10" x14ac:dyDescent="0.25">
      <c r="A1220" s="39">
        <v>1219</v>
      </c>
      <c r="B1220" s="3" t="s">
        <v>2819</v>
      </c>
      <c r="C1220" s="75" t="s">
        <v>2820</v>
      </c>
      <c r="D1220" s="75" t="s">
        <v>310</v>
      </c>
      <c r="E1220" s="75" t="str">
        <f t="shared" si="20"/>
        <v>০</v>
      </c>
      <c r="F1220" s="22" t="str">
        <f>"8119457817133"</f>
        <v>8119457817133</v>
      </c>
      <c r="G1220" s="75" t="str">
        <f>"২৯১"</f>
        <v>২৯১</v>
      </c>
      <c r="H1220" s="75" t="s">
        <v>322</v>
      </c>
      <c r="I1220" s="75" t="s">
        <v>322</v>
      </c>
      <c r="J1220" s="4"/>
    </row>
    <row r="1221" spans="1:10" x14ac:dyDescent="0.25">
      <c r="A1221" s="39">
        <v>1220</v>
      </c>
      <c r="B1221" s="3" t="s">
        <v>1545</v>
      </c>
      <c r="C1221" s="75" t="s">
        <v>2821</v>
      </c>
      <c r="D1221" s="75" t="s">
        <v>310</v>
      </c>
      <c r="E1221" s="75" t="str">
        <f t="shared" si="20"/>
        <v>০</v>
      </c>
      <c r="F1221" s="22" t="str">
        <f>"8119457817361"</f>
        <v>8119457817361</v>
      </c>
      <c r="G1221" s="75" t="str">
        <f>"২৯০"</f>
        <v>২৯০</v>
      </c>
      <c r="H1221" s="75" t="s">
        <v>314</v>
      </c>
      <c r="I1221" s="75" t="s">
        <v>314</v>
      </c>
      <c r="J1221" s="4"/>
    </row>
    <row r="1222" spans="1:10" x14ac:dyDescent="0.25">
      <c r="A1222" s="39">
        <v>1221</v>
      </c>
      <c r="B1222" s="3" t="s">
        <v>2822</v>
      </c>
      <c r="C1222" s="75" t="s">
        <v>2823</v>
      </c>
      <c r="D1222" s="75" t="s">
        <v>310</v>
      </c>
      <c r="E1222" s="75" t="str">
        <f t="shared" si="20"/>
        <v>০</v>
      </c>
      <c r="F1222" s="22" t="str">
        <f>"8119457817359"</f>
        <v>8119457817359</v>
      </c>
      <c r="G1222" s="75" t="str">
        <f>"২৮৯"</f>
        <v>২৮৯</v>
      </c>
      <c r="H1222" s="75" t="s">
        <v>323</v>
      </c>
      <c r="I1222" s="75" t="s">
        <v>323</v>
      </c>
      <c r="J1222" s="4"/>
    </row>
    <row r="1223" spans="1:10" x14ac:dyDescent="0.25">
      <c r="A1223" s="39">
        <v>1222</v>
      </c>
      <c r="B1223" s="3" t="s">
        <v>2047</v>
      </c>
      <c r="C1223" s="75" t="s">
        <v>2824</v>
      </c>
      <c r="D1223" s="75" t="s">
        <v>310</v>
      </c>
      <c r="E1223" s="75" t="str">
        <f t="shared" si="20"/>
        <v>০</v>
      </c>
      <c r="F1223" s="22" t="str">
        <f>"8119457817303"</f>
        <v>8119457817303</v>
      </c>
      <c r="G1223" s="75" t="str">
        <f>"২৮৮"</f>
        <v>২৮৮</v>
      </c>
      <c r="H1223" s="75" t="s">
        <v>324</v>
      </c>
      <c r="I1223" s="75" t="s">
        <v>324</v>
      </c>
      <c r="J1223" s="4"/>
    </row>
    <row r="1224" spans="1:10" x14ac:dyDescent="0.25">
      <c r="A1224" s="39">
        <v>1223</v>
      </c>
      <c r="B1224" s="3" t="s">
        <v>11</v>
      </c>
      <c r="C1224" s="75" t="s">
        <v>78</v>
      </c>
      <c r="D1224" s="75" t="s">
        <v>310</v>
      </c>
      <c r="E1224" s="75" t="str">
        <f t="shared" si="20"/>
        <v>০</v>
      </c>
      <c r="F1224" s="22" t="str">
        <f>"8119457819342"</f>
        <v>8119457819342</v>
      </c>
      <c r="G1224" s="75" t="str">
        <f>"২৮৭"</f>
        <v>২৮৭</v>
      </c>
      <c r="H1224" s="75" t="s">
        <v>325</v>
      </c>
      <c r="I1224" s="75" t="s">
        <v>325</v>
      </c>
      <c r="J1224" s="4"/>
    </row>
    <row r="1225" spans="1:10" x14ac:dyDescent="0.25">
      <c r="A1225" s="39">
        <v>1224</v>
      </c>
      <c r="B1225" s="11" t="s">
        <v>12</v>
      </c>
      <c r="C1225" s="75" t="s">
        <v>189</v>
      </c>
      <c r="D1225" s="75" t="s">
        <v>310</v>
      </c>
      <c r="E1225" s="75" t="str">
        <f t="shared" si="20"/>
        <v>০</v>
      </c>
      <c r="F1225" s="22" t="str">
        <f>"8119457817297"</f>
        <v>8119457817297</v>
      </c>
      <c r="G1225" s="75" t="str">
        <f>"২৮৬"</f>
        <v>২৮৬</v>
      </c>
      <c r="H1225" s="75" t="s">
        <v>319</v>
      </c>
      <c r="I1225" s="75" t="s">
        <v>319</v>
      </c>
      <c r="J1225" s="4"/>
    </row>
    <row r="1226" spans="1:10" x14ac:dyDescent="0.25">
      <c r="A1226" s="39">
        <v>1225</v>
      </c>
      <c r="B1226" s="3" t="s">
        <v>13</v>
      </c>
      <c r="C1226" s="75" t="s">
        <v>190</v>
      </c>
      <c r="D1226" s="75" t="s">
        <v>310</v>
      </c>
      <c r="E1226" s="75" t="str">
        <f t="shared" si="20"/>
        <v>০</v>
      </c>
      <c r="F1226" s="22" t="str">
        <f>"8119457817318"</f>
        <v>8119457817318</v>
      </c>
      <c r="G1226" s="75" t="str">
        <f>"২৮৫"</f>
        <v>২৮৫</v>
      </c>
      <c r="H1226" s="75" t="s">
        <v>326</v>
      </c>
      <c r="I1226" s="75" t="s">
        <v>326</v>
      </c>
      <c r="J1226" s="4"/>
    </row>
    <row r="1227" spans="1:10" x14ac:dyDescent="0.25">
      <c r="A1227" s="39">
        <v>1226</v>
      </c>
      <c r="B1227" s="3" t="s">
        <v>2825</v>
      </c>
      <c r="C1227" s="75" t="s">
        <v>2258</v>
      </c>
      <c r="D1227" s="75" t="s">
        <v>310</v>
      </c>
      <c r="E1227" s="75" t="str">
        <f t="shared" si="20"/>
        <v>০</v>
      </c>
      <c r="F1227" s="22" t="str">
        <f>"8119457817122"</f>
        <v>8119457817122</v>
      </c>
      <c r="G1227" s="75" t="str">
        <f>"২৮৪"</f>
        <v>২৮৪</v>
      </c>
      <c r="H1227" s="75" t="s">
        <v>327</v>
      </c>
      <c r="I1227" s="75" t="s">
        <v>327</v>
      </c>
      <c r="J1227" s="4"/>
    </row>
    <row r="1228" spans="1:10" x14ac:dyDescent="0.25">
      <c r="A1228" s="39">
        <v>1227</v>
      </c>
      <c r="B1228" s="3" t="s">
        <v>2826</v>
      </c>
      <c r="C1228" s="75" t="s">
        <v>2827</v>
      </c>
      <c r="D1228" s="75" t="s">
        <v>310</v>
      </c>
      <c r="E1228" s="75" t="str">
        <f t="shared" si="20"/>
        <v>০</v>
      </c>
      <c r="F1228" s="22" t="str">
        <f>"8119457817116"</f>
        <v>8119457817116</v>
      </c>
      <c r="G1228" s="75" t="str">
        <f>"২৮৩"</f>
        <v>২৮৩</v>
      </c>
      <c r="H1228" s="75" t="s">
        <v>328</v>
      </c>
      <c r="I1228" s="75" t="s">
        <v>328</v>
      </c>
      <c r="J1228" s="4"/>
    </row>
    <row r="1229" spans="1:10" x14ac:dyDescent="0.25">
      <c r="A1229" s="39">
        <v>1228</v>
      </c>
      <c r="B1229" s="3" t="s">
        <v>2828</v>
      </c>
      <c r="C1229" s="75" t="s">
        <v>1704</v>
      </c>
      <c r="D1229" s="75" t="s">
        <v>310</v>
      </c>
      <c r="E1229" s="75" t="str">
        <f t="shared" si="20"/>
        <v>০</v>
      </c>
      <c r="F1229" s="22" t="str">
        <f>"8119457817323"</f>
        <v>8119457817323</v>
      </c>
      <c r="G1229" s="75" t="str">
        <f>"২৮২"</f>
        <v>২৮২</v>
      </c>
      <c r="H1229" s="75" t="s">
        <v>329</v>
      </c>
      <c r="I1229" s="75" t="s">
        <v>329</v>
      </c>
      <c r="J1229" s="4"/>
    </row>
    <row r="1230" spans="1:10" x14ac:dyDescent="0.25">
      <c r="A1230" s="39">
        <v>1229</v>
      </c>
      <c r="B1230" s="3" t="s">
        <v>2829</v>
      </c>
      <c r="C1230" s="75" t="s">
        <v>2811</v>
      </c>
      <c r="D1230" s="75" t="s">
        <v>310</v>
      </c>
      <c r="E1230" s="75" t="str">
        <f t="shared" si="20"/>
        <v>০</v>
      </c>
      <c r="F1230" s="22" t="str">
        <f>"8119457817342"</f>
        <v>8119457817342</v>
      </c>
      <c r="G1230" s="75" t="str">
        <f>"২৮১"</f>
        <v>২৮১</v>
      </c>
      <c r="H1230" s="75" t="s">
        <v>330</v>
      </c>
      <c r="I1230" s="75" t="s">
        <v>330</v>
      </c>
      <c r="J1230" s="4"/>
    </row>
    <row r="1231" spans="1:10" x14ac:dyDescent="0.25">
      <c r="A1231" s="39">
        <v>1230</v>
      </c>
      <c r="B1231" s="3" t="s">
        <v>2077</v>
      </c>
      <c r="C1231" s="75" t="s">
        <v>2830</v>
      </c>
      <c r="D1231" s="75" t="s">
        <v>310</v>
      </c>
      <c r="E1231" s="75" t="str">
        <f t="shared" si="20"/>
        <v>০</v>
      </c>
      <c r="F1231" s="22" t="str">
        <f>"811945781"</f>
        <v>811945781</v>
      </c>
      <c r="G1231" s="75" t="str">
        <f>"২৮০"</f>
        <v>২৮০</v>
      </c>
      <c r="H1231" s="75" t="s">
        <v>319</v>
      </c>
      <c r="I1231" s="75" t="s">
        <v>319</v>
      </c>
      <c r="J1231" s="4"/>
    </row>
    <row r="1232" spans="1:10" x14ac:dyDescent="0.25">
      <c r="A1232" s="39">
        <v>1231</v>
      </c>
      <c r="B1232" s="3" t="s">
        <v>14</v>
      </c>
      <c r="C1232" s="75" t="s">
        <v>147</v>
      </c>
      <c r="D1232" s="75" t="s">
        <v>310</v>
      </c>
      <c r="E1232" s="75" t="str">
        <f t="shared" si="20"/>
        <v>০</v>
      </c>
      <c r="F1232" s="22" t="str">
        <f>"8119457817052"</f>
        <v>8119457817052</v>
      </c>
      <c r="G1232" s="75" t="str">
        <f>"২৭৯"</f>
        <v>২৭৯</v>
      </c>
      <c r="H1232" s="75" t="s">
        <v>317</v>
      </c>
      <c r="I1232" s="75" t="s">
        <v>317</v>
      </c>
      <c r="J1232" s="4"/>
    </row>
    <row r="1233" spans="1:10" x14ac:dyDescent="0.25">
      <c r="A1233" s="39">
        <v>1232</v>
      </c>
      <c r="B1233" s="3" t="s">
        <v>15</v>
      </c>
      <c r="C1233" s="75" t="s">
        <v>187</v>
      </c>
      <c r="D1233" s="75" t="s">
        <v>310</v>
      </c>
      <c r="E1233" s="75" t="str">
        <f t="shared" si="20"/>
        <v>০</v>
      </c>
      <c r="F1233" s="22" t="str">
        <f>"8119457817334"</f>
        <v>8119457817334</v>
      </c>
      <c r="G1233" s="75" t="str">
        <f>"২৭৮"</f>
        <v>২৭৮</v>
      </c>
      <c r="H1233" s="75" t="s">
        <v>323</v>
      </c>
      <c r="I1233" s="75" t="s">
        <v>323</v>
      </c>
      <c r="J1233" s="4"/>
    </row>
    <row r="1234" spans="1:10" x14ac:dyDescent="0.25">
      <c r="A1234" s="39">
        <v>1233</v>
      </c>
      <c r="B1234" s="3" t="s">
        <v>16</v>
      </c>
      <c r="C1234" s="75" t="s">
        <v>147</v>
      </c>
      <c r="D1234" s="75" t="s">
        <v>310</v>
      </c>
      <c r="E1234" s="75" t="str">
        <f t="shared" si="20"/>
        <v>০</v>
      </c>
      <c r="F1234" s="22" t="str">
        <f>"8119457817139"</f>
        <v>8119457817139</v>
      </c>
      <c r="G1234" s="75" t="str">
        <f>"২৭৭"</f>
        <v>২৭৭</v>
      </c>
      <c r="H1234" s="75" t="s">
        <v>326</v>
      </c>
      <c r="I1234" s="75" t="s">
        <v>326</v>
      </c>
      <c r="J1234" s="4"/>
    </row>
    <row r="1235" spans="1:10" x14ac:dyDescent="0.25">
      <c r="A1235" s="39">
        <v>1234</v>
      </c>
      <c r="B1235" s="3" t="s">
        <v>17</v>
      </c>
      <c r="C1235" s="75" t="s">
        <v>185</v>
      </c>
      <c r="D1235" s="75" t="s">
        <v>310</v>
      </c>
      <c r="E1235" s="75" t="str">
        <f t="shared" si="20"/>
        <v>০</v>
      </c>
      <c r="F1235" s="22" t="str">
        <f>"8119457817054"</f>
        <v>8119457817054</v>
      </c>
      <c r="G1235" s="75" t="str">
        <f>"২৭৬"</f>
        <v>২৭৬</v>
      </c>
      <c r="H1235" s="75" t="s">
        <v>331</v>
      </c>
      <c r="I1235" s="75" t="s">
        <v>331</v>
      </c>
      <c r="J1235" s="4"/>
    </row>
    <row r="1236" spans="1:10" x14ac:dyDescent="0.25">
      <c r="A1236" s="39">
        <v>1235</v>
      </c>
      <c r="B1236" s="3" t="s">
        <v>18</v>
      </c>
      <c r="C1236" s="75" t="s">
        <v>5</v>
      </c>
      <c r="D1236" s="75" t="s">
        <v>310</v>
      </c>
      <c r="E1236" s="75" t="str">
        <f t="shared" si="20"/>
        <v>০</v>
      </c>
      <c r="F1236" s="22" t="str">
        <f>"8119457817296"</f>
        <v>8119457817296</v>
      </c>
      <c r="G1236" s="75" t="str">
        <f>"২৭৫"</f>
        <v>২৭৫</v>
      </c>
      <c r="H1236" s="75" t="s">
        <v>329</v>
      </c>
      <c r="I1236" s="75" t="s">
        <v>329</v>
      </c>
      <c r="J1236" s="4"/>
    </row>
    <row r="1237" spans="1:10" x14ac:dyDescent="0.25">
      <c r="A1237" s="39">
        <v>1236</v>
      </c>
      <c r="B1237" s="3" t="s">
        <v>19</v>
      </c>
      <c r="C1237" s="75" t="s">
        <v>191</v>
      </c>
      <c r="D1237" s="75" t="s">
        <v>310</v>
      </c>
      <c r="E1237" s="75" t="str">
        <f t="shared" si="20"/>
        <v>০</v>
      </c>
      <c r="F1237" s="22" t="str">
        <f>"8119457817327"</f>
        <v>8119457817327</v>
      </c>
      <c r="G1237" s="75" t="str">
        <f>"২৭৪"</f>
        <v>২৭৪</v>
      </c>
      <c r="H1237" s="75" t="s">
        <v>332</v>
      </c>
      <c r="I1237" s="75" t="s">
        <v>332</v>
      </c>
      <c r="J1237" s="4"/>
    </row>
    <row r="1238" spans="1:10" x14ac:dyDescent="0.25">
      <c r="A1238" s="39">
        <v>1237</v>
      </c>
      <c r="B1238" s="3" t="s">
        <v>20</v>
      </c>
      <c r="C1238" s="75" t="s">
        <v>192</v>
      </c>
      <c r="D1238" s="75" t="s">
        <v>310</v>
      </c>
      <c r="E1238" s="75" t="str">
        <f t="shared" si="20"/>
        <v>০</v>
      </c>
      <c r="F1238" s="22" t="str">
        <f>"8119457817132"</f>
        <v>8119457817132</v>
      </c>
      <c r="G1238" s="75" t="str">
        <f>"২৭৩"</f>
        <v>২৭৩</v>
      </c>
      <c r="H1238" s="75" t="s">
        <v>316</v>
      </c>
      <c r="I1238" s="75" t="s">
        <v>316</v>
      </c>
      <c r="J1238" s="4"/>
    </row>
    <row r="1239" spans="1:10" x14ac:dyDescent="0.25">
      <c r="A1239" s="39">
        <v>1238</v>
      </c>
      <c r="B1239" s="3" t="s">
        <v>21</v>
      </c>
      <c r="C1239" s="75" t="s">
        <v>193</v>
      </c>
      <c r="D1239" s="75" t="s">
        <v>310</v>
      </c>
      <c r="E1239" s="75" t="str">
        <f t="shared" si="20"/>
        <v>০</v>
      </c>
      <c r="F1239" s="22" t="str">
        <f>"8119457817126"</f>
        <v>8119457817126</v>
      </c>
      <c r="G1239" s="75" t="str">
        <f>"২৭২"</f>
        <v>২৭২</v>
      </c>
      <c r="H1239" s="75" t="s">
        <v>330</v>
      </c>
      <c r="I1239" s="75" t="s">
        <v>330</v>
      </c>
      <c r="J1239" s="4"/>
    </row>
    <row r="1240" spans="1:10" x14ac:dyDescent="0.25">
      <c r="A1240" s="39">
        <v>1239</v>
      </c>
      <c r="B1240" s="3" t="s">
        <v>2831</v>
      </c>
      <c r="C1240" s="75" t="s">
        <v>2832</v>
      </c>
      <c r="D1240" s="75" t="s">
        <v>310</v>
      </c>
      <c r="E1240" s="75" t="str">
        <f t="shared" si="20"/>
        <v>০</v>
      </c>
      <c r="F1240" s="22" t="str">
        <f>"8119457817353"</f>
        <v>8119457817353</v>
      </c>
      <c r="G1240" s="75" t="str">
        <f>"২৭১"</f>
        <v>২৭১</v>
      </c>
      <c r="H1240" s="75" t="s">
        <v>333</v>
      </c>
      <c r="I1240" s="75" t="s">
        <v>333</v>
      </c>
      <c r="J1240" s="4"/>
    </row>
    <row r="1241" spans="1:10" x14ac:dyDescent="0.25">
      <c r="A1241" s="39">
        <v>1240</v>
      </c>
      <c r="B1241" s="3" t="s">
        <v>22</v>
      </c>
      <c r="C1241" s="75" t="s">
        <v>194</v>
      </c>
      <c r="D1241" s="75" t="s">
        <v>310</v>
      </c>
      <c r="E1241" s="75" t="str">
        <f t="shared" si="20"/>
        <v>০</v>
      </c>
      <c r="F1241" s="22" t="str">
        <f>"8119457817082"</f>
        <v>8119457817082</v>
      </c>
      <c r="G1241" s="75" t="str">
        <f>"২৭০"</f>
        <v>২৭০</v>
      </c>
      <c r="H1241" s="75" t="s">
        <v>319</v>
      </c>
      <c r="I1241" s="75" t="s">
        <v>319</v>
      </c>
      <c r="J1241" s="4"/>
    </row>
    <row r="1242" spans="1:10" x14ac:dyDescent="0.25">
      <c r="A1242" s="39">
        <v>1241</v>
      </c>
      <c r="B1242" s="3" t="s">
        <v>23</v>
      </c>
      <c r="C1242" s="75" t="s">
        <v>195</v>
      </c>
      <c r="D1242" s="75" t="s">
        <v>310</v>
      </c>
      <c r="E1242" s="75" t="str">
        <f t="shared" si="20"/>
        <v>০</v>
      </c>
      <c r="F1242" s="22" t="str">
        <f>"8119457817368"</f>
        <v>8119457817368</v>
      </c>
      <c r="G1242" s="75" t="str">
        <f>"২৬৯"</f>
        <v>২৬৯</v>
      </c>
      <c r="H1242" s="75" t="s">
        <v>322</v>
      </c>
      <c r="I1242" s="75" t="s">
        <v>322</v>
      </c>
      <c r="J1242" s="4"/>
    </row>
    <row r="1243" spans="1:10" x14ac:dyDescent="0.25">
      <c r="A1243" s="39">
        <v>1242</v>
      </c>
      <c r="B1243" s="3" t="s">
        <v>24</v>
      </c>
      <c r="C1243" s="75" t="s">
        <v>196</v>
      </c>
      <c r="D1243" s="75" t="s">
        <v>310</v>
      </c>
      <c r="E1243" s="75" t="str">
        <f t="shared" si="20"/>
        <v>০</v>
      </c>
      <c r="F1243" s="22" t="str">
        <f>"8119457817172"</f>
        <v>8119457817172</v>
      </c>
      <c r="G1243" s="75" t="str">
        <f>"২৬৮"</f>
        <v>২৬৮</v>
      </c>
      <c r="H1243" s="75" t="s">
        <v>319</v>
      </c>
      <c r="I1243" s="75" t="s">
        <v>319</v>
      </c>
      <c r="J1243" s="4"/>
    </row>
    <row r="1244" spans="1:10" x14ac:dyDescent="0.25">
      <c r="A1244" s="39">
        <v>1243</v>
      </c>
      <c r="B1244" s="3" t="s">
        <v>25</v>
      </c>
      <c r="C1244" s="75" t="s">
        <v>197</v>
      </c>
      <c r="D1244" s="75" t="s">
        <v>311</v>
      </c>
      <c r="E1244" s="75" t="str">
        <f t="shared" si="20"/>
        <v>০</v>
      </c>
      <c r="F1244" s="22" t="str">
        <f>"8119457817316"</f>
        <v>8119457817316</v>
      </c>
      <c r="G1244" s="75" t="str">
        <f>"২৬৭"</f>
        <v>২৬৭</v>
      </c>
      <c r="H1244" s="75" t="s">
        <v>313</v>
      </c>
      <c r="I1244" s="75" t="s">
        <v>313</v>
      </c>
      <c r="J1244" s="4"/>
    </row>
    <row r="1245" spans="1:10" x14ac:dyDescent="0.25">
      <c r="A1245" s="39">
        <v>1244</v>
      </c>
      <c r="B1245" s="3" t="s">
        <v>26</v>
      </c>
      <c r="C1245" s="75" t="s">
        <v>198</v>
      </c>
      <c r="D1245" s="75" t="s">
        <v>311</v>
      </c>
      <c r="E1245" s="75" t="str">
        <f t="shared" si="20"/>
        <v>০</v>
      </c>
      <c r="F1245" s="22" t="str">
        <f>"8119457817133"</f>
        <v>8119457817133</v>
      </c>
      <c r="G1245" s="75" t="str">
        <f>"২৬৬"</f>
        <v>২৬৬</v>
      </c>
      <c r="H1245" s="75" t="s">
        <v>314</v>
      </c>
      <c r="I1245" s="75" t="s">
        <v>314</v>
      </c>
      <c r="J1245" s="4"/>
    </row>
    <row r="1246" spans="1:10" x14ac:dyDescent="0.25">
      <c r="A1246" s="39">
        <v>1245</v>
      </c>
      <c r="B1246" s="3" t="s">
        <v>27</v>
      </c>
      <c r="C1246" s="75" t="s">
        <v>54</v>
      </c>
      <c r="D1246" s="75" t="s">
        <v>311</v>
      </c>
      <c r="E1246" s="75" t="str">
        <f t="shared" si="20"/>
        <v>০</v>
      </c>
      <c r="F1246" s="22" t="str">
        <f>"8119457817361"</f>
        <v>8119457817361</v>
      </c>
      <c r="G1246" s="75" t="str">
        <f>"২৬৫"</f>
        <v>২৬৫</v>
      </c>
      <c r="H1246" s="75" t="s">
        <v>315</v>
      </c>
      <c r="I1246" s="75" t="s">
        <v>315</v>
      </c>
      <c r="J1246" s="4"/>
    </row>
    <row r="1247" spans="1:10" x14ac:dyDescent="0.25">
      <c r="A1247" s="39">
        <v>1246</v>
      </c>
      <c r="B1247" s="3" t="s">
        <v>28</v>
      </c>
      <c r="C1247" s="75" t="s">
        <v>199</v>
      </c>
      <c r="D1247" s="75" t="s">
        <v>311</v>
      </c>
      <c r="E1247" s="75" t="str">
        <f t="shared" si="20"/>
        <v>০</v>
      </c>
      <c r="F1247" s="22" t="str">
        <f>"8119457817359"</f>
        <v>8119457817359</v>
      </c>
      <c r="G1247" s="75" t="str">
        <f>"২৬৪"</f>
        <v>২৬৪</v>
      </c>
      <c r="H1247" s="75" t="s">
        <v>316</v>
      </c>
      <c r="I1247" s="75" t="s">
        <v>316</v>
      </c>
      <c r="J1247" s="4"/>
    </row>
    <row r="1248" spans="1:10" x14ac:dyDescent="0.25">
      <c r="A1248" s="39">
        <v>1247</v>
      </c>
      <c r="B1248" s="3" t="s">
        <v>29</v>
      </c>
      <c r="C1248" s="75" t="s">
        <v>200</v>
      </c>
      <c r="D1248" s="75" t="s">
        <v>311</v>
      </c>
      <c r="E1248" s="75" t="str">
        <f t="shared" si="20"/>
        <v>০</v>
      </c>
      <c r="F1248" s="22" t="str">
        <f>"8119457817303"</f>
        <v>8119457817303</v>
      </c>
      <c r="G1248" s="75" t="str">
        <f>"২৬৩"</f>
        <v>২৬৩</v>
      </c>
      <c r="H1248" s="75" t="s">
        <v>317</v>
      </c>
      <c r="I1248" s="75" t="s">
        <v>317</v>
      </c>
      <c r="J1248" s="4"/>
    </row>
    <row r="1249" spans="1:10" x14ac:dyDescent="0.25">
      <c r="A1249" s="39">
        <v>1248</v>
      </c>
      <c r="B1249" s="3" t="s">
        <v>30</v>
      </c>
      <c r="C1249" s="75" t="s">
        <v>201</v>
      </c>
      <c r="D1249" s="75" t="s">
        <v>311</v>
      </c>
      <c r="E1249" s="75" t="str">
        <f t="shared" si="20"/>
        <v>০</v>
      </c>
      <c r="F1249" s="22" t="str">
        <f>"8119457819342"</f>
        <v>8119457819342</v>
      </c>
      <c r="G1249" s="75" t="str">
        <f>"২৬২"</f>
        <v>২৬২</v>
      </c>
      <c r="H1249" s="75" t="s">
        <v>318</v>
      </c>
      <c r="I1249" s="75" t="s">
        <v>318</v>
      </c>
      <c r="J1249" s="4"/>
    </row>
    <row r="1250" spans="1:10" x14ac:dyDescent="0.25">
      <c r="A1250" s="39">
        <v>1249</v>
      </c>
      <c r="B1250" s="3" t="s">
        <v>31</v>
      </c>
      <c r="C1250" s="75" t="s">
        <v>202</v>
      </c>
      <c r="D1250" s="75" t="s">
        <v>311</v>
      </c>
      <c r="E1250" s="75" t="str">
        <f t="shared" si="20"/>
        <v>০</v>
      </c>
      <c r="F1250" s="22" t="str">
        <f>"8119457817297"</f>
        <v>8119457817297</v>
      </c>
      <c r="G1250" s="75" t="str">
        <f>"২৬১"</f>
        <v>২৬১</v>
      </c>
      <c r="H1250" s="75" t="s">
        <v>319</v>
      </c>
      <c r="I1250" s="75" t="s">
        <v>319</v>
      </c>
      <c r="J1250" s="4"/>
    </row>
    <row r="1251" spans="1:10" x14ac:dyDescent="0.25">
      <c r="A1251" s="39">
        <v>1250</v>
      </c>
      <c r="B1251" s="3" t="s">
        <v>32</v>
      </c>
      <c r="C1251" s="75" t="s">
        <v>79</v>
      </c>
      <c r="D1251" s="75" t="s">
        <v>311</v>
      </c>
      <c r="E1251" s="75" t="str">
        <f t="shared" si="20"/>
        <v>০</v>
      </c>
      <c r="F1251" s="22" t="str">
        <f>"8119457817318"</f>
        <v>8119457817318</v>
      </c>
      <c r="G1251" s="75" t="str">
        <f>"২৬০"</f>
        <v>২৬০</v>
      </c>
      <c r="H1251" s="75" t="s">
        <v>320</v>
      </c>
      <c r="I1251" s="75" t="s">
        <v>320</v>
      </c>
      <c r="J1251" s="4"/>
    </row>
    <row r="1252" spans="1:10" x14ac:dyDescent="0.25">
      <c r="A1252" s="39">
        <v>1251</v>
      </c>
      <c r="B1252" s="3" t="s">
        <v>33</v>
      </c>
      <c r="C1252" s="75" t="s">
        <v>199</v>
      </c>
      <c r="D1252" s="75" t="s">
        <v>311</v>
      </c>
      <c r="E1252" s="75" t="str">
        <f t="shared" si="20"/>
        <v>০</v>
      </c>
      <c r="F1252" s="22" t="str">
        <f>"8119457817122"</f>
        <v>8119457817122</v>
      </c>
      <c r="G1252" s="75" t="str">
        <f>"২৫৯"</f>
        <v>২৫৯</v>
      </c>
      <c r="H1252" s="75" t="s">
        <v>315</v>
      </c>
      <c r="I1252" s="75" t="s">
        <v>315</v>
      </c>
      <c r="J1252" s="4"/>
    </row>
    <row r="1253" spans="1:10" x14ac:dyDescent="0.25">
      <c r="A1253" s="39">
        <v>1252</v>
      </c>
      <c r="B1253" s="3" t="s">
        <v>34</v>
      </c>
      <c r="C1253" s="75" t="s">
        <v>203</v>
      </c>
      <c r="D1253" s="75" t="s">
        <v>311</v>
      </c>
      <c r="E1253" s="75" t="str">
        <f t="shared" si="20"/>
        <v>০</v>
      </c>
      <c r="F1253" s="22" t="str">
        <f>"8119457817116"</f>
        <v>8119457817116</v>
      </c>
      <c r="G1253" s="75" t="str">
        <f>"২৫৮"</f>
        <v>২৫৮</v>
      </c>
      <c r="H1253" s="75" t="s">
        <v>313</v>
      </c>
      <c r="I1253" s="75" t="s">
        <v>313</v>
      </c>
      <c r="J1253" s="4"/>
    </row>
    <row r="1254" spans="1:10" x14ac:dyDescent="0.25">
      <c r="A1254" s="39">
        <v>1253</v>
      </c>
      <c r="B1254" s="3" t="s">
        <v>35</v>
      </c>
      <c r="C1254" s="75" t="s">
        <v>204</v>
      </c>
      <c r="D1254" s="75" t="s">
        <v>311</v>
      </c>
      <c r="E1254" s="75" t="str">
        <f t="shared" si="20"/>
        <v>০</v>
      </c>
      <c r="F1254" s="22" t="str">
        <f>"8119457817323"</f>
        <v>8119457817323</v>
      </c>
      <c r="G1254" s="75" t="str">
        <f>"২৫৭"</f>
        <v>২৫৭</v>
      </c>
      <c r="H1254" s="75" t="s">
        <v>314</v>
      </c>
      <c r="I1254" s="75" t="s">
        <v>314</v>
      </c>
      <c r="J1254" s="4"/>
    </row>
    <row r="1255" spans="1:10" x14ac:dyDescent="0.25">
      <c r="A1255" s="39">
        <v>1254</v>
      </c>
      <c r="B1255" s="3" t="s">
        <v>6</v>
      </c>
      <c r="C1255" s="75" t="s">
        <v>205</v>
      </c>
      <c r="D1255" s="75" t="s">
        <v>311</v>
      </c>
      <c r="E1255" s="75" t="str">
        <f t="shared" si="20"/>
        <v>০</v>
      </c>
      <c r="F1255" s="22" t="str">
        <f>"8119457817342"</f>
        <v>8119457817342</v>
      </c>
      <c r="G1255" s="75" t="str">
        <f>"২৫৬"</f>
        <v>২৫৬</v>
      </c>
      <c r="H1255" s="75" t="s">
        <v>321</v>
      </c>
      <c r="I1255" s="75" t="s">
        <v>321</v>
      </c>
      <c r="J1255" s="4"/>
    </row>
    <row r="1256" spans="1:10" x14ac:dyDescent="0.25">
      <c r="A1256" s="39">
        <v>1255</v>
      </c>
      <c r="B1256" s="3" t="s">
        <v>36</v>
      </c>
      <c r="C1256" s="75" t="s">
        <v>206</v>
      </c>
      <c r="D1256" s="75" t="s">
        <v>311</v>
      </c>
      <c r="E1256" s="75" t="str">
        <f t="shared" si="20"/>
        <v>০</v>
      </c>
      <c r="F1256" s="22" t="str">
        <f>"811945781"</f>
        <v>811945781</v>
      </c>
      <c r="G1256" s="75" t="str">
        <f>"২৫৫"</f>
        <v>২৫৫</v>
      </c>
      <c r="H1256" s="75" t="s">
        <v>322</v>
      </c>
      <c r="I1256" s="75" t="s">
        <v>322</v>
      </c>
      <c r="J1256" s="4"/>
    </row>
    <row r="1257" spans="1:10" x14ac:dyDescent="0.25">
      <c r="A1257" s="39">
        <v>1256</v>
      </c>
      <c r="B1257" s="3" t="s">
        <v>37</v>
      </c>
      <c r="C1257" s="75" t="s">
        <v>75</v>
      </c>
      <c r="D1257" s="75" t="s">
        <v>311</v>
      </c>
      <c r="E1257" s="75" t="str">
        <f t="shared" si="20"/>
        <v>০</v>
      </c>
      <c r="F1257" s="22" t="str">
        <f>"8119457817052"</f>
        <v>8119457817052</v>
      </c>
      <c r="G1257" s="75" t="str">
        <f>"২৫৪"</f>
        <v>২৫৪</v>
      </c>
      <c r="H1257" s="75" t="s">
        <v>314</v>
      </c>
      <c r="I1257" s="75" t="s">
        <v>314</v>
      </c>
      <c r="J1257" s="4"/>
    </row>
    <row r="1258" spans="1:10" x14ac:dyDescent="0.25">
      <c r="A1258" s="39">
        <v>1257</v>
      </c>
      <c r="B1258" s="3" t="s">
        <v>38</v>
      </c>
      <c r="C1258" s="75" t="s">
        <v>79</v>
      </c>
      <c r="D1258" s="75" t="s">
        <v>311</v>
      </c>
      <c r="E1258" s="75" t="str">
        <f t="shared" ref="E1258:E1321" si="21">"০"</f>
        <v>০</v>
      </c>
      <c r="F1258" s="22" t="str">
        <f>"8119457817334"</f>
        <v>8119457817334</v>
      </c>
      <c r="G1258" s="75" t="str">
        <f>"২৫৩"</f>
        <v>২৫৩</v>
      </c>
      <c r="H1258" s="75" t="s">
        <v>323</v>
      </c>
      <c r="I1258" s="75" t="s">
        <v>323</v>
      </c>
      <c r="J1258" s="4"/>
    </row>
    <row r="1259" spans="1:10" x14ac:dyDescent="0.25">
      <c r="A1259" s="39">
        <v>1258</v>
      </c>
      <c r="B1259" s="3" t="s">
        <v>39</v>
      </c>
      <c r="C1259" s="75" t="s">
        <v>207</v>
      </c>
      <c r="D1259" s="75" t="s">
        <v>311</v>
      </c>
      <c r="E1259" s="75" t="str">
        <f t="shared" si="21"/>
        <v>০</v>
      </c>
      <c r="F1259" s="22" t="str">
        <f>"8119457817139"</f>
        <v>8119457817139</v>
      </c>
      <c r="G1259" s="75" t="str">
        <f>"২৫২"</f>
        <v>২৫২</v>
      </c>
      <c r="H1259" s="75" t="s">
        <v>324</v>
      </c>
      <c r="I1259" s="75" t="s">
        <v>324</v>
      </c>
      <c r="J1259" s="4"/>
    </row>
    <row r="1260" spans="1:10" x14ac:dyDescent="0.25">
      <c r="A1260" s="39">
        <v>1259</v>
      </c>
      <c r="B1260" s="3" t="s">
        <v>40</v>
      </c>
      <c r="C1260" s="75" t="s">
        <v>75</v>
      </c>
      <c r="D1260" s="75" t="s">
        <v>311</v>
      </c>
      <c r="E1260" s="75" t="str">
        <f t="shared" si="21"/>
        <v>০</v>
      </c>
      <c r="F1260" s="22" t="str">
        <f>"8119457817054"</f>
        <v>8119457817054</v>
      </c>
      <c r="G1260" s="75" t="str">
        <f>"২৫১"</f>
        <v>২৫১</v>
      </c>
      <c r="H1260" s="75" t="s">
        <v>325</v>
      </c>
      <c r="I1260" s="75" t="s">
        <v>325</v>
      </c>
      <c r="J1260" s="4"/>
    </row>
    <row r="1261" spans="1:10" x14ac:dyDescent="0.25">
      <c r="A1261" s="39">
        <v>1260</v>
      </c>
      <c r="B1261" s="3" t="s">
        <v>41</v>
      </c>
      <c r="C1261" s="75" t="s">
        <v>52</v>
      </c>
      <c r="D1261" s="75" t="s">
        <v>311</v>
      </c>
      <c r="E1261" s="75" t="str">
        <f t="shared" si="21"/>
        <v>০</v>
      </c>
      <c r="F1261" s="22" t="str">
        <f>"8119457817296"</f>
        <v>8119457817296</v>
      </c>
      <c r="G1261" s="75" t="str">
        <f>"২৫০"</f>
        <v>২৫০</v>
      </c>
      <c r="H1261" s="75" t="s">
        <v>319</v>
      </c>
      <c r="I1261" s="75" t="s">
        <v>319</v>
      </c>
      <c r="J1261" s="4"/>
    </row>
    <row r="1262" spans="1:10" x14ac:dyDescent="0.25">
      <c r="A1262" s="39">
        <v>1261</v>
      </c>
      <c r="B1262" s="3" t="s">
        <v>42</v>
      </c>
      <c r="C1262" s="75" t="s">
        <v>208</v>
      </c>
      <c r="D1262" s="75" t="s">
        <v>311</v>
      </c>
      <c r="E1262" s="75" t="str">
        <f t="shared" si="21"/>
        <v>০</v>
      </c>
      <c r="F1262" s="22" t="str">
        <f>"8119457817327"</f>
        <v>8119457817327</v>
      </c>
      <c r="G1262" s="75" t="str">
        <f>"২৪৯"</f>
        <v>২৪৯</v>
      </c>
      <c r="H1262" s="75" t="s">
        <v>326</v>
      </c>
      <c r="I1262" s="75" t="s">
        <v>326</v>
      </c>
      <c r="J1262" s="4"/>
    </row>
    <row r="1263" spans="1:10" x14ac:dyDescent="0.25">
      <c r="A1263" s="39">
        <v>1262</v>
      </c>
      <c r="B1263" s="3" t="s">
        <v>43</v>
      </c>
      <c r="C1263" s="75" t="s">
        <v>178</v>
      </c>
      <c r="D1263" s="75" t="s">
        <v>311</v>
      </c>
      <c r="E1263" s="75" t="str">
        <f t="shared" si="21"/>
        <v>০</v>
      </c>
      <c r="F1263" s="22" t="str">
        <f>"8119457817132"</f>
        <v>8119457817132</v>
      </c>
      <c r="G1263" s="75" t="str">
        <f>"২৪৮"</f>
        <v>২৪৮</v>
      </c>
      <c r="H1263" s="75" t="s">
        <v>327</v>
      </c>
      <c r="I1263" s="75" t="s">
        <v>327</v>
      </c>
      <c r="J1263" s="4"/>
    </row>
    <row r="1264" spans="1:10" x14ac:dyDescent="0.25">
      <c r="A1264" s="39">
        <v>1263</v>
      </c>
      <c r="B1264" s="3" t="s">
        <v>44</v>
      </c>
      <c r="C1264" s="75" t="s">
        <v>178</v>
      </c>
      <c r="D1264" s="75" t="s">
        <v>311</v>
      </c>
      <c r="E1264" s="75" t="str">
        <f t="shared" si="21"/>
        <v>০</v>
      </c>
      <c r="F1264" s="22" t="str">
        <f>"8119457817126"</f>
        <v>8119457817126</v>
      </c>
      <c r="G1264" s="75" t="str">
        <f>"২৪৭"</f>
        <v>২৪৭</v>
      </c>
      <c r="H1264" s="75" t="s">
        <v>328</v>
      </c>
      <c r="I1264" s="75" t="s">
        <v>328</v>
      </c>
      <c r="J1264" s="4"/>
    </row>
    <row r="1265" spans="1:10" x14ac:dyDescent="0.25">
      <c r="A1265" s="39">
        <v>1264</v>
      </c>
      <c r="B1265" s="3" t="s">
        <v>45</v>
      </c>
      <c r="C1265" s="75" t="s">
        <v>75</v>
      </c>
      <c r="D1265" s="75" t="s">
        <v>311</v>
      </c>
      <c r="E1265" s="75" t="str">
        <f t="shared" si="21"/>
        <v>০</v>
      </c>
      <c r="F1265" s="22" t="str">
        <f>"8119457817353"</f>
        <v>8119457817353</v>
      </c>
      <c r="G1265" s="75" t="str">
        <f>"২৪৬"</f>
        <v>২৪৬</v>
      </c>
      <c r="H1265" s="75" t="s">
        <v>329</v>
      </c>
      <c r="I1265" s="75" t="s">
        <v>329</v>
      </c>
      <c r="J1265" s="4"/>
    </row>
    <row r="1266" spans="1:10" x14ac:dyDescent="0.25">
      <c r="A1266" s="39">
        <v>1265</v>
      </c>
      <c r="B1266" s="3" t="s">
        <v>46</v>
      </c>
      <c r="C1266" s="75" t="s">
        <v>202</v>
      </c>
      <c r="D1266" s="75" t="s">
        <v>311</v>
      </c>
      <c r="E1266" s="75" t="str">
        <f t="shared" si="21"/>
        <v>০</v>
      </c>
      <c r="F1266" s="22" t="str">
        <f>"8119457817082"</f>
        <v>8119457817082</v>
      </c>
      <c r="G1266" s="75" t="str">
        <f>"২৪৫"</f>
        <v>২৪৫</v>
      </c>
      <c r="H1266" s="75" t="s">
        <v>330</v>
      </c>
      <c r="I1266" s="75" t="s">
        <v>330</v>
      </c>
      <c r="J1266" s="4"/>
    </row>
    <row r="1267" spans="1:10" x14ac:dyDescent="0.25">
      <c r="A1267" s="39">
        <v>1266</v>
      </c>
      <c r="B1267" s="3" t="s">
        <v>19</v>
      </c>
      <c r="C1267" s="75" t="s">
        <v>209</v>
      </c>
      <c r="D1267" s="75" t="s">
        <v>311</v>
      </c>
      <c r="E1267" s="75" t="str">
        <f t="shared" si="21"/>
        <v>০</v>
      </c>
      <c r="F1267" s="22" t="str">
        <f>"8119457817368"</f>
        <v>8119457817368</v>
      </c>
      <c r="G1267" s="75" t="str">
        <f>"২৪৪"</f>
        <v>২৪৪</v>
      </c>
      <c r="H1267" s="75" t="s">
        <v>319</v>
      </c>
      <c r="I1267" s="75" t="s">
        <v>319</v>
      </c>
      <c r="J1267" s="4"/>
    </row>
    <row r="1268" spans="1:10" x14ac:dyDescent="0.25">
      <c r="A1268" s="39">
        <v>1267</v>
      </c>
      <c r="B1268" s="3" t="s">
        <v>47</v>
      </c>
      <c r="C1268" s="75" t="s">
        <v>184</v>
      </c>
      <c r="D1268" s="75" t="s">
        <v>311</v>
      </c>
      <c r="E1268" s="75" t="str">
        <f t="shared" si="21"/>
        <v>০</v>
      </c>
      <c r="F1268" s="22" t="str">
        <f>"8119457817172"</f>
        <v>8119457817172</v>
      </c>
      <c r="G1268" s="75" t="str">
        <f>"২৪৩"</f>
        <v>২৪৩</v>
      </c>
      <c r="H1268" s="75" t="s">
        <v>317</v>
      </c>
      <c r="I1268" s="75" t="s">
        <v>317</v>
      </c>
      <c r="J1268" s="4"/>
    </row>
    <row r="1269" spans="1:10" x14ac:dyDescent="0.25">
      <c r="A1269" s="39">
        <v>1268</v>
      </c>
      <c r="B1269" s="3" t="s">
        <v>48</v>
      </c>
      <c r="C1269" s="75" t="s">
        <v>210</v>
      </c>
      <c r="D1269" s="75" t="s">
        <v>311</v>
      </c>
      <c r="E1269" s="75" t="str">
        <f t="shared" si="21"/>
        <v>০</v>
      </c>
      <c r="F1269" s="22" t="str">
        <f>"8119457817316"</f>
        <v>8119457817316</v>
      </c>
      <c r="G1269" s="75" t="str">
        <f>"২৪২"</f>
        <v>২৪২</v>
      </c>
      <c r="H1269" s="75" t="s">
        <v>323</v>
      </c>
      <c r="I1269" s="75" t="s">
        <v>323</v>
      </c>
      <c r="J1269" s="4"/>
    </row>
    <row r="1270" spans="1:10" x14ac:dyDescent="0.25">
      <c r="A1270" s="39">
        <v>1269</v>
      </c>
      <c r="B1270" s="3" t="s">
        <v>49</v>
      </c>
      <c r="C1270" s="75" t="s">
        <v>211</v>
      </c>
      <c r="D1270" s="75" t="s">
        <v>311</v>
      </c>
      <c r="E1270" s="75" t="str">
        <f t="shared" si="21"/>
        <v>০</v>
      </c>
      <c r="F1270" s="22" t="str">
        <f>"8119457817133"</f>
        <v>8119457817133</v>
      </c>
      <c r="G1270" s="75" t="str">
        <f>"২৪১"</f>
        <v>২৪১</v>
      </c>
      <c r="H1270" s="75" t="s">
        <v>326</v>
      </c>
      <c r="I1270" s="75" t="s">
        <v>326</v>
      </c>
      <c r="J1270" s="4"/>
    </row>
    <row r="1271" spans="1:10" x14ac:dyDescent="0.25">
      <c r="A1271" s="39">
        <v>1270</v>
      </c>
      <c r="B1271" s="3" t="s">
        <v>50</v>
      </c>
      <c r="C1271" s="75" t="s">
        <v>212</v>
      </c>
      <c r="D1271" s="75" t="s">
        <v>311</v>
      </c>
      <c r="E1271" s="75" t="str">
        <f t="shared" si="21"/>
        <v>০</v>
      </c>
      <c r="F1271" s="22" t="str">
        <f>"8119457817361"</f>
        <v>8119457817361</v>
      </c>
      <c r="G1271" s="75" t="str">
        <f>"২৪০"</f>
        <v>২৪০</v>
      </c>
      <c r="H1271" s="75" t="s">
        <v>331</v>
      </c>
      <c r="I1271" s="75" t="s">
        <v>331</v>
      </c>
      <c r="J1271" s="4"/>
    </row>
    <row r="1272" spans="1:10" x14ac:dyDescent="0.25">
      <c r="A1272" s="39">
        <v>1271</v>
      </c>
      <c r="B1272" s="3" t="s">
        <v>51</v>
      </c>
      <c r="C1272" s="75" t="s">
        <v>213</v>
      </c>
      <c r="D1272" s="75" t="s">
        <v>311</v>
      </c>
      <c r="E1272" s="75" t="str">
        <f t="shared" si="21"/>
        <v>০</v>
      </c>
      <c r="F1272" s="22" t="str">
        <f>"8119457817359"</f>
        <v>8119457817359</v>
      </c>
      <c r="G1272" s="75" t="str">
        <f>"২৩৯"</f>
        <v>২৩৯</v>
      </c>
      <c r="H1272" s="75" t="s">
        <v>329</v>
      </c>
      <c r="I1272" s="75" t="s">
        <v>329</v>
      </c>
      <c r="J1272" s="4"/>
    </row>
    <row r="1273" spans="1:10" x14ac:dyDescent="0.25">
      <c r="A1273" s="39">
        <v>1272</v>
      </c>
      <c r="B1273" s="3" t="s">
        <v>52</v>
      </c>
      <c r="C1273" s="75" t="s">
        <v>214</v>
      </c>
      <c r="D1273" s="75" t="s">
        <v>311</v>
      </c>
      <c r="E1273" s="75" t="str">
        <f t="shared" si="21"/>
        <v>০</v>
      </c>
      <c r="F1273" s="22" t="str">
        <f>"8119457817303"</f>
        <v>8119457817303</v>
      </c>
      <c r="G1273" s="75" t="str">
        <f>"২৩৮"</f>
        <v>২৩৮</v>
      </c>
      <c r="H1273" s="75" t="s">
        <v>332</v>
      </c>
      <c r="I1273" s="75" t="s">
        <v>332</v>
      </c>
      <c r="J1273" s="4"/>
    </row>
    <row r="1274" spans="1:10" x14ac:dyDescent="0.25">
      <c r="A1274" s="39">
        <v>1273</v>
      </c>
      <c r="B1274" s="3" t="s">
        <v>53</v>
      </c>
      <c r="C1274" s="75" t="s">
        <v>215</v>
      </c>
      <c r="D1274" s="75" t="s">
        <v>311</v>
      </c>
      <c r="E1274" s="75" t="str">
        <f t="shared" si="21"/>
        <v>০</v>
      </c>
      <c r="F1274" s="22" t="str">
        <f>"8119457819342"</f>
        <v>8119457819342</v>
      </c>
      <c r="G1274" s="75" t="str">
        <f>"২৩৭"</f>
        <v>২৩৭</v>
      </c>
      <c r="H1274" s="75" t="s">
        <v>316</v>
      </c>
      <c r="I1274" s="75" t="s">
        <v>316</v>
      </c>
      <c r="J1274" s="4"/>
    </row>
    <row r="1275" spans="1:10" x14ac:dyDescent="0.25">
      <c r="A1275" s="39">
        <v>1274</v>
      </c>
      <c r="B1275" s="3" t="s">
        <v>54</v>
      </c>
      <c r="C1275" s="75" t="s">
        <v>200</v>
      </c>
      <c r="D1275" s="75" t="s">
        <v>311</v>
      </c>
      <c r="E1275" s="75" t="str">
        <f t="shared" si="21"/>
        <v>০</v>
      </c>
      <c r="F1275" s="22" t="str">
        <f>"8119457817297"</f>
        <v>8119457817297</v>
      </c>
      <c r="G1275" s="75" t="str">
        <f>"২৩৬"</f>
        <v>২৩৬</v>
      </c>
      <c r="H1275" s="75" t="s">
        <v>330</v>
      </c>
      <c r="I1275" s="75" t="s">
        <v>330</v>
      </c>
      <c r="J1275" s="4"/>
    </row>
    <row r="1276" spans="1:10" x14ac:dyDescent="0.25">
      <c r="A1276" s="39">
        <v>1275</v>
      </c>
      <c r="B1276" s="3" t="s">
        <v>55</v>
      </c>
      <c r="C1276" s="75" t="s">
        <v>200</v>
      </c>
      <c r="D1276" s="75" t="s">
        <v>311</v>
      </c>
      <c r="E1276" s="75" t="str">
        <f t="shared" si="21"/>
        <v>০</v>
      </c>
      <c r="F1276" s="22" t="str">
        <f>"8119457817318"</f>
        <v>8119457817318</v>
      </c>
      <c r="G1276" s="75" t="str">
        <f>"২৩৫"</f>
        <v>২৩৫</v>
      </c>
      <c r="H1276" s="75" t="s">
        <v>333</v>
      </c>
      <c r="I1276" s="75" t="s">
        <v>333</v>
      </c>
      <c r="J1276" s="4"/>
    </row>
    <row r="1277" spans="1:10" x14ac:dyDescent="0.25">
      <c r="A1277" s="39">
        <v>1276</v>
      </c>
      <c r="B1277" s="3" t="s">
        <v>56</v>
      </c>
      <c r="C1277" s="75" t="s">
        <v>54</v>
      </c>
      <c r="D1277" s="75" t="s">
        <v>311</v>
      </c>
      <c r="E1277" s="75" t="str">
        <f t="shared" si="21"/>
        <v>০</v>
      </c>
      <c r="F1277" s="22" t="str">
        <f>"8119457817122"</f>
        <v>8119457817122</v>
      </c>
      <c r="G1277" s="75" t="str">
        <f>"২৩৪"</f>
        <v>২৩৪</v>
      </c>
      <c r="H1277" s="75" t="s">
        <v>319</v>
      </c>
      <c r="I1277" s="75" t="s">
        <v>319</v>
      </c>
      <c r="J1277" s="4"/>
    </row>
    <row r="1278" spans="1:10" x14ac:dyDescent="0.25">
      <c r="A1278" s="39">
        <v>1277</v>
      </c>
      <c r="B1278" s="3" t="s">
        <v>57</v>
      </c>
      <c r="C1278" s="75" t="s">
        <v>216</v>
      </c>
      <c r="D1278" s="75" t="s">
        <v>311</v>
      </c>
      <c r="E1278" s="75" t="str">
        <f t="shared" si="21"/>
        <v>০</v>
      </c>
      <c r="F1278" s="22" t="str">
        <f>"8119457817116"</f>
        <v>8119457817116</v>
      </c>
      <c r="G1278" s="75" t="str">
        <f>"২৩৩"</f>
        <v>২৩৩</v>
      </c>
      <c r="H1278" s="75" t="s">
        <v>322</v>
      </c>
      <c r="I1278" s="75" t="s">
        <v>322</v>
      </c>
      <c r="J1278" s="4"/>
    </row>
    <row r="1279" spans="1:10" x14ac:dyDescent="0.25">
      <c r="A1279" s="39">
        <v>1278</v>
      </c>
      <c r="B1279" s="3" t="s">
        <v>58</v>
      </c>
      <c r="C1279" s="75" t="s">
        <v>217</v>
      </c>
      <c r="D1279" s="75" t="s">
        <v>311</v>
      </c>
      <c r="E1279" s="75" t="str">
        <f t="shared" si="21"/>
        <v>০</v>
      </c>
      <c r="F1279" s="22" t="str">
        <f>"8119457817323"</f>
        <v>8119457817323</v>
      </c>
      <c r="G1279" s="75" t="str">
        <f>"২৩২"</f>
        <v>২৩২</v>
      </c>
      <c r="H1279" s="75" t="s">
        <v>319</v>
      </c>
      <c r="I1279" s="75" t="s">
        <v>319</v>
      </c>
      <c r="J1279" s="4"/>
    </row>
    <row r="1280" spans="1:10" x14ac:dyDescent="0.25">
      <c r="A1280" s="39">
        <v>1279</v>
      </c>
      <c r="B1280" s="3" t="s">
        <v>59</v>
      </c>
      <c r="C1280" s="75" t="s">
        <v>218</v>
      </c>
      <c r="D1280" s="75" t="s">
        <v>311</v>
      </c>
      <c r="E1280" s="75" t="str">
        <f t="shared" si="21"/>
        <v>০</v>
      </c>
      <c r="F1280" s="22" t="str">
        <f>"8119457817342"</f>
        <v>8119457817342</v>
      </c>
      <c r="G1280" s="75" t="str">
        <f>"২৩১"</f>
        <v>২৩১</v>
      </c>
      <c r="H1280" s="75" t="s">
        <v>315</v>
      </c>
      <c r="I1280" s="75" t="s">
        <v>315</v>
      </c>
      <c r="J1280" s="4"/>
    </row>
    <row r="1281" spans="1:10" x14ac:dyDescent="0.25">
      <c r="A1281" s="39">
        <v>1280</v>
      </c>
      <c r="B1281" s="3" t="s">
        <v>60</v>
      </c>
      <c r="C1281" s="75" t="s">
        <v>54</v>
      </c>
      <c r="D1281" s="75" t="s">
        <v>311</v>
      </c>
      <c r="E1281" s="75" t="str">
        <f t="shared" si="21"/>
        <v>০</v>
      </c>
      <c r="F1281" s="22" t="str">
        <f>"8119457817123"</f>
        <v>8119457817123</v>
      </c>
      <c r="G1281" s="75" t="str">
        <f>"২৩০"</f>
        <v>২৩০</v>
      </c>
      <c r="H1281" s="75" t="s">
        <v>316</v>
      </c>
      <c r="I1281" s="75" t="s">
        <v>316</v>
      </c>
      <c r="J1281" s="4"/>
    </row>
    <row r="1282" spans="1:10" x14ac:dyDescent="0.25">
      <c r="A1282" s="39">
        <v>1281</v>
      </c>
      <c r="B1282" s="3" t="s">
        <v>61</v>
      </c>
      <c r="C1282" s="75" t="s">
        <v>202</v>
      </c>
      <c r="D1282" s="75" t="s">
        <v>311</v>
      </c>
      <c r="E1282" s="75" t="str">
        <f t="shared" si="21"/>
        <v>০</v>
      </c>
      <c r="F1282" s="22" t="str">
        <f>"8119457817085"</f>
        <v>8119457817085</v>
      </c>
      <c r="G1282" s="75" t="str">
        <f>"২২৯"</f>
        <v>২২৯</v>
      </c>
      <c r="H1282" s="75" t="s">
        <v>317</v>
      </c>
      <c r="I1282" s="75" t="s">
        <v>317</v>
      </c>
      <c r="J1282" s="4"/>
    </row>
    <row r="1283" spans="1:10" x14ac:dyDescent="0.25">
      <c r="A1283" s="39">
        <v>1282</v>
      </c>
      <c r="B1283" s="3" t="s">
        <v>8</v>
      </c>
      <c r="C1283" s="75" t="s">
        <v>219</v>
      </c>
      <c r="D1283" s="75" t="s">
        <v>311</v>
      </c>
      <c r="E1283" s="75" t="str">
        <f t="shared" si="21"/>
        <v>০</v>
      </c>
      <c r="F1283" s="22" t="str">
        <f>"8119457817341"</f>
        <v>8119457817341</v>
      </c>
      <c r="G1283" s="75" t="str">
        <f>"২২৮"</f>
        <v>২২৮</v>
      </c>
      <c r="H1283" s="75" t="s">
        <v>318</v>
      </c>
      <c r="I1283" s="75" t="s">
        <v>318</v>
      </c>
      <c r="J1283" s="4"/>
    </row>
    <row r="1284" spans="1:10" x14ac:dyDescent="0.25">
      <c r="A1284" s="39">
        <v>1283</v>
      </c>
      <c r="B1284" s="3" t="s">
        <v>62</v>
      </c>
      <c r="C1284" s="75" t="s">
        <v>79</v>
      </c>
      <c r="D1284" s="75" t="s">
        <v>311</v>
      </c>
      <c r="E1284" s="75" t="str">
        <f t="shared" si="21"/>
        <v>০</v>
      </c>
      <c r="F1284" s="22" t="str">
        <f>"8119457817120"</f>
        <v>8119457817120</v>
      </c>
      <c r="G1284" s="75" t="str">
        <f>"২২৭"</f>
        <v>২২৭</v>
      </c>
      <c r="H1284" s="75" t="s">
        <v>319</v>
      </c>
      <c r="I1284" s="75" t="s">
        <v>319</v>
      </c>
      <c r="J1284" s="4"/>
    </row>
    <row r="1285" spans="1:10" x14ac:dyDescent="0.25">
      <c r="A1285" s="39">
        <v>1284</v>
      </c>
      <c r="B1285" s="3" t="s">
        <v>63</v>
      </c>
      <c r="C1285" s="75" t="s">
        <v>220</v>
      </c>
      <c r="D1285" s="75" t="s">
        <v>311</v>
      </c>
      <c r="E1285" s="75" t="str">
        <f t="shared" si="21"/>
        <v>০</v>
      </c>
      <c r="F1285" s="22" t="str">
        <f>"8119457817146"</f>
        <v>8119457817146</v>
      </c>
      <c r="G1285" s="75" t="str">
        <f>"২২৬"</f>
        <v>২২৬</v>
      </c>
      <c r="H1285" s="75" t="s">
        <v>320</v>
      </c>
      <c r="I1285" s="75" t="s">
        <v>320</v>
      </c>
      <c r="J1285" s="4"/>
    </row>
    <row r="1286" spans="1:10" x14ac:dyDescent="0.25">
      <c r="A1286" s="39">
        <v>1285</v>
      </c>
      <c r="B1286" s="3" t="s">
        <v>64</v>
      </c>
      <c r="C1286" s="75" t="s">
        <v>221</v>
      </c>
      <c r="D1286" s="75" t="s">
        <v>311</v>
      </c>
      <c r="E1286" s="75" t="str">
        <f t="shared" si="21"/>
        <v>০</v>
      </c>
      <c r="F1286" s="22" t="str">
        <f>"8119457817328"</f>
        <v>8119457817328</v>
      </c>
      <c r="G1286" s="75" t="str">
        <f>"২২৫"</f>
        <v>২২৫</v>
      </c>
      <c r="H1286" s="75" t="s">
        <v>315</v>
      </c>
      <c r="I1286" s="75" t="s">
        <v>315</v>
      </c>
      <c r="J1286" s="4"/>
    </row>
    <row r="1287" spans="1:10" x14ac:dyDescent="0.25">
      <c r="A1287" s="39">
        <v>1286</v>
      </c>
      <c r="B1287" s="3" t="s">
        <v>65</v>
      </c>
      <c r="C1287" s="75" t="s">
        <v>72</v>
      </c>
      <c r="D1287" s="75" t="s">
        <v>311</v>
      </c>
      <c r="E1287" s="75" t="str">
        <f t="shared" si="21"/>
        <v>০</v>
      </c>
      <c r="F1287" s="22" t="str">
        <f>"8119457817064"</f>
        <v>8119457817064</v>
      </c>
      <c r="G1287" s="75" t="str">
        <f>"২২৪"</f>
        <v>২২৪</v>
      </c>
      <c r="H1287" s="75" t="s">
        <v>313</v>
      </c>
      <c r="I1287" s="75" t="s">
        <v>313</v>
      </c>
      <c r="J1287" s="4"/>
    </row>
    <row r="1288" spans="1:10" x14ac:dyDescent="0.25">
      <c r="A1288" s="39">
        <v>1287</v>
      </c>
      <c r="B1288" s="3" t="s">
        <v>66</v>
      </c>
      <c r="C1288" s="75" t="s">
        <v>187</v>
      </c>
      <c r="D1288" s="75" t="s">
        <v>311</v>
      </c>
      <c r="E1288" s="75" t="str">
        <f t="shared" si="21"/>
        <v>০</v>
      </c>
      <c r="F1288" s="22" t="str">
        <f>"8119457817348"</f>
        <v>8119457817348</v>
      </c>
      <c r="G1288" s="75" t="str">
        <f>"২২৩"</f>
        <v>২২৩</v>
      </c>
      <c r="H1288" s="75" t="s">
        <v>314</v>
      </c>
      <c r="I1288" s="75" t="s">
        <v>314</v>
      </c>
      <c r="J1288" s="4"/>
    </row>
    <row r="1289" spans="1:10" x14ac:dyDescent="0.25">
      <c r="A1289" s="39">
        <v>1288</v>
      </c>
      <c r="B1289" s="3" t="s">
        <v>16</v>
      </c>
      <c r="C1289" s="75" t="s">
        <v>75</v>
      </c>
      <c r="D1289" s="75" t="s">
        <v>311</v>
      </c>
      <c r="E1289" s="75" t="str">
        <f t="shared" si="21"/>
        <v>০</v>
      </c>
      <c r="F1289" s="22" t="str">
        <f>"8119457817352"</f>
        <v>8119457817352</v>
      </c>
      <c r="G1289" s="75" t="str">
        <f>"২২২"</f>
        <v>২২২</v>
      </c>
      <c r="H1289" s="75" t="s">
        <v>321</v>
      </c>
      <c r="I1289" s="75" t="s">
        <v>321</v>
      </c>
      <c r="J1289" s="4"/>
    </row>
    <row r="1290" spans="1:10" x14ac:dyDescent="0.25">
      <c r="A1290" s="39">
        <v>1289</v>
      </c>
      <c r="B1290" s="3" t="s">
        <v>67</v>
      </c>
      <c r="C1290" s="75" t="s">
        <v>29</v>
      </c>
      <c r="D1290" s="75" t="s">
        <v>311</v>
      </c>
      <c r="E1290" s="75" t="str">
        <f t="shared" si="21"/>
        <v>০</v>
      </c>
      <c r="F1290" s="22" t="str">
        <f>"8119457817134"</f>
        <v>8119457817134</v>
      </c>
      <c r="G1290" s="75" t="str">
        <f>"২২১"</f>
        <v>২২১</v>
      </c>
      <c r="H1290" s="75" t="s">
        <v>322</v>
      </c>
      <c r="I1290" s="75" t="s">
        <v>322</v>
      </c>
      <c r="J1290" s="4"/>
    </row>
    <row r="1291" spans="1:10" x14ac:dyDescent="0.25">
      <c r="A1291" s="39">
        <v>1290</v>
      </c>
      <c r="B1291" s="3" t="s">
        <v>68</v>
      </c>
      <c r="C1291" s="75" t="s">
        <v>222</v>
      </c>
      <c r="D1291" s="75" t="s">
        <v>311</v>
      </c>
      <c r="E1291" s="75" t="str">
        <f t="shared" si="21"/>
        <v>০</v>
      </c>
      <c r="F1291" s="22" t="str">
        <f>"8119457817083"</f>
        <v>8119457817083</v>
      </c>
      <c r="G1291" s="75" t="str">
        <f>"২২০"</f>
        <v>২২০</v>
      </c>
      <c r="H1291" s="75" t="s">
        <v>314</v>
      </c>
      <c r="I1291" s="75" t="s">
        <v>314</v>
      </c>
      <c r="J1291" s="4"/>
    </row>
    <row r="1292" spans="1:10" x14ac:dyDescent="0.25">
      <c r="A1292" s="39">
        <v>1291</v>
      </c>
      <c r="B1292" s="3" t="s">
        <v>69</v>
      </c>
      <c r="C1292" s="75" t="s">
        <v>79</v>
      </c>
      <c r="D1292" s="75" t="s">
        <v>311</v>
      </c>
      <c r="E1292" s="75" t="str">
        <f t="shared" si="21"/>
        <v>০</v>
      </c>
      <c r="F1292" s="22" t="str">
        <f>"8119457817332"</f>
        <v>8119457817332</v>
      </c>
      <c r="G1292" s="75" t="str">
        <f>"২১৯"</f>
        <v>২১৯</v>
      </c>
      <c r="H1292" s="75" t="s">
        <v>323</v>
      </c>
      <c r="I1292" s="75" t="s">
        <v>323</v>
      </c>
      <c r="J1292" s="4"/>
    </row>
    <row r="1293" spans="1:10" x14ac:dyDescent="0.25">
      <c r="A1293" s="39">
        <v>1292</v>
      </c>
      <c r="B1293" s="3" t="s">
        <v>70</v>
      </c>
      <c r="C1293" s="75" t="s">
        <v>223</v>
      </c>
      <c r="D1293" s="75" t="s">
        <v>311</v>
      </c>
      <c r="E1293" s="75" t="str">
        <f t="shared" si="21"/>
        <v>০</v>
      </c>
      <c r="F1293" s="22" t="str">
        <f>"8119457817288"</f>
        <v>8119457817288</v>
      </c>
      <c r="G1293" s="75" t="str">
        <f>"২১৮"</f>
        <v>২১৮</v>
      </c>
      <c r="H1293" s="75" t="s">
        <v>324</v>
      </c>
      <c r="I1293" s="75" t="s">
        <v>324</v>
      </c>
      <c r="J1293" s="4"/>
    </row>
    <row r="1294" spans="1:10" x14ac:dyDescent="0.25">
      <c r="A1294" s="39">
        <v>1293</v>
      </c>
      <c r="B1294" s="3" t="s">
        <v>2833</v>
      </c>
      <c r="C1294" s="75" t="s">
        <v>2834</v>
      </c>
      <c r="D1294" s="75" t="s">
        <v>311</v>
      </c>
      <c r="E1294" s="75" t="str">
        <f t="shared" si="21"/>
        <v>০</v>
      </c>
      <c r="F1294" s="22" t="str">
        <f>"8119457817105"</f>
        <v>8119457817105</v>
      </c>
      <c r="G1294" s="75" t="str">
        <f>"২১৭"</f>
        <v>২১৭</v>
      </c>
      <c r="H1294" s="75" t="s">
        <v>325</v>
      </c>
      <c r="I1294" s="75" t="s">
        <v>325</v>
      </c>
      <c r="J1294" s="4"/>
    </row>
    <row r="1295" spans="1:10" x14ac:dyDescent="0.25">
      <c r="A1295" s="39">
        <v>1294</v>
      </c>
      <c r="B1295" s="3" t="s">
        <v>71</v>
      </c>
      <c r="C1295" s="75" t="s">
        <v>224</v>
      </c>
      <c r="D1295" s="75" t="s">
        <v>311</v>
      </c>
      <c r="E1295" s="75" t="str">
        <f t="shared" si="21"/>
        <v>০</v>
      </c>
      <c r="F1295" s="22" t="str">
        <f>"8119457817091"</f>
        <v>8119457817091</v>
      </c>
      <c r="G1295" s="75" t="str">
        <f>"২১৬"</f>
        <v>২১৬</v>
      </c>
      <c r="H1295" s="75" t="s">
        <v>319</v>
      </c>
      <c r="I1295" s="75" t="s">
        <v>319</v>
      </c>
      <c r="J1295" s="4"/>
    </row>
    <row r="1296" spans="1:10" x14ac:dyDescent="0.25">
      <c r="A1296" s="39">
        <v>1295</v>
      </c>
      <c r="B1296" s="3" t="s">
        <v>54</v>
      </c>
      <c r="C1296" s="75" t="s">
        <v>225</v>
      </c>
      <c r="D1296" s="75" t="s">
        <v>311</v>
      </c>
      <c r="E1296" s="75" t="str">
        <f t="shared" si="21"/>
        <v>০</v>
      </c>
      <c r="F1296" s="22" t="str">
        <f>"8119457817121"</f>
        <v>8119457817121</v>
      </c>
      <c r="G1296" s="75" t="str">
        <f>"২১৫"</f>
        <v>২১৫</v>
      </c>
      <c r="H1296" s="75" t="s">
        <v>326</v>
      </c>
      <c r="I1296" s="75" t="s">
        <v>326</v>
      </c>
      <c r="J1296" s="4"/>
    </row>
    <row r="1297" spans="1:10" x14ac:dyDescent="0.25">
      <c r="A1297" s="39">
        <v>1296</v>
      </c>
      <c r="B1297" s="3" t="s">
        <v>72</v>
      </c>
      <c r="C1297" s="75" t="s">
        <v>57</v>
      </c>
      <c r="D1297" s="75" t="s">
        <v>311</v>
      </c>
      <c r="E1297" s="75" t="str">
        <f t="shared" si="21"/>
        <v>০</v>
      </c>
      <c r="F1297" s="22" t="str">
        <f>"8119457817060"</f>
        <v>8119457817060</v>
      </c>
      <c r="G1297" s="75" t="str">
        <f>"২১৪"</f>
        <v>২১৪</v>
      </c>
      <c r="H1297" s="75" t="s">
        <v>327</v>
      </c>
      <c r="I1297" s="75" t="s">
        <v>327</v>
      </c>
      <c r="J1297" s="4"/>
    </row>
    <row r="1298" spans="1:10" x14ac:dyDescent="0.25">
      <c r="A1298" s="39">
        <v>1297</v>
      </c>
      <c r="B1298" s="3" t="s">
        <v>73</v>
      </c>
      <c r="C1298" s="75" t="s">
        <v>226</v>
      </c>
      <c r="D1298" s="75" t="s">
        <v>311</v>
      </c>
      <c r="E1298" s="75" t="str">
        <f t="shared" si="21"/>
        <v>০</v>
      </c>
      <c r="F1298" s="22" t="str">
        <f>"8119457817073"</f>
        <v>8119457817073</v>
      </c>
      <c r="G1298" s="75" t="str">
        <f>"২১৩"</f>
        <v>২১৩</v>
      </c>
      <c r="H1298" s="75" t="s">
        <v>328</v>
      </c>
      <c r="I1298" s="75" t="s">
        <v>328</v>
      </c>
      <c r="J1298" s="4"/>
    </row>
    <row r="1299" spans="1:10" x14ac:dyDescent="0.25">
      <c r="A1299" s="39">
        <v>1298</v>
      </c>
      <c r="B1299" s="3" t="s">
        <v>74</v>
      </c>
      <c r="C1299" s="75" t="s">
        <v>227</v>
      </c>
      <c r="D1299" s="75" t="s">
        <v>311</v>
      </c>
      <c r="E1299" s="75" t="str">
        <f t="shared" si="21"/>
        <v>০</v>
      </c>
      <c r="F1299" s="22" t="str">
        <f>"8119457817071"</f>
        <v>8119457817071</v>
      </c>
      <c r="G1299" s="75" t="str">
        <f>"২১২"</f>
        <v>২১২</v>
      </c>
      <c r="H1299" s="75" t="s">
        <v>329</v>
      </c>
      <c r="I1299" s="75" t="s">
        <v>329</v>
      </c>
      <c r="J1299" s="4"/>
    </row>
    <row r="1300" spans="1:10" x14ac:dyDescent="0.25">
      <c r="A1300" s="39">
        <v>1299</v>
      </c>
      <c r="B1300" s="3" t="s">
        <v>75</v>
      </c>
      <c r="C1300" s="75" t="s">
        <v>228</v>
      </c>
      <c r="D1300" s="75" t="s">
        <v>311</v>
      </c>
      <c r="E1300" s="75" t="str">
        <f t="shared" si="21"/>
        <v>০</v>
      </c>
      <c r="F1300" s="22" t="str">
        <f>"8119457817048"</f>
        <v>8119457817048</v>
      </c>
      <c r="G1300" s="75" t="str">
        <f>"২১১"</f>
        <v>২১১</v>
      </c>
      <c r="H1300" s="75" t="s">
        <v>330</v>
      </c>
      <c r="I1300" s="75" t="s">
        <v>330</v>
      </c>
      <c r="J1300" s="4"/>
    </row>
    <row r="1301" spans="1:10" x14ac:dyDescent="0.25">
      <c r="A1301" s="39">
        <v>1300</v>
      </c>
      <c r="B1301" s="3" t="s">
        <v>76</v>
      </c>
      <c r="C1301" s="75" t="s">
        <v>202</v>
      </c>
      <c r="D1301" s="75" t="s">
        <v>311</v>
      </c>
      <c r="E1301" s="75" t="str">
        <f t="shared" si="21"/>
        <v>০</v>
      </c>
      <c r="F1301" s="22" t="str">
        <f>"8119457817089"</f>
        <v>8119457817089</v>
      </c>
      <c r="G1301" s="75" t="str">
        <f>"২১০"</f>
        <v>২১০</v>
      </c>
      <c r="H1301" s="75" t="s">
        <v>319</v>
      </c>
      <c r="I1301" s="75" t="s">
        <v>319</v>
      </c>
      <c r="J1301" s="4"/>
    </row>
    <row r="1302" spans="1:10" x14ac:dyDescent="0.25">
      <c r="A1302" s="39">
        <v>1301</v>
      </c>
      <c r="B1302" s="3" t="s">
        <v>77</v>
      </c>
      <c r="C1302" s="75" t="s">
        <v>75</v>
      </c>
      <c r="D1302" s="75" t="s">
        <v>311</v>
      </c>
      <c r="E1302" s="75" t="str">
        <f t="shared" si="21"/>
        <v>০</v>
      </c>
      <c r="F1302" s="22" t="str">
        <f>"8119457817351"</f>
        <v>8119457817351</v>
      </c>
      <c r="G1302" s="75" t="str">
        <f>"২০৯"</f>
        <v>২০৯</v>
      </c>
      <c r="H1302" s="75" t="s">
        <v>317</v>
      </c>
      <c r="I1302" s="75" t="s">
        <v>317</v>
      </c>
      <c r="J1302" s="4"/>
    </row>
    <row r="1303" spans="1:10" x14ac:dyDescent="0.25">
      <c r="A1303" s="39">
        <v>1302</v>
      </c>
      <c r="B1303" s="3" t="s">
        <v>75</v>
      </c>
      <c r="C1303" s="75" t="s">
        <v>206</v>
      </c>
      <c r="D1303" s="75" t="s">
        <v>311</v>
      </c>
      <c r="E1303" s="75" t="str">
        <f t="shared" si="21"/>
        <v>০</v>
      </c>
      <c r="F1303" s="22" t="str">
        <f>"8119457817056"</f>
        <v>8119457817056</v>
      </c>
      <c r="G1303" s="75" t="str">
        <f>"২০৮"</f>
        <v>২০৮</v>
      </c>
      <c r="H1303" s="75" t="s">
        <v>323</v>
      </c>
      <c r="I1303" s="75" t="s">
        <v>323</v>
      </c>
      <c r="J1303" s="4"/>
    </row>
    <row r="1304" spans="1:10" x14ac:dyDescent="0.25">
      <c r="A1304" s="39">
        <v>1303</v>
      </c>
      <c r="B1304" s="3" t="s">
        <v>78</v>
      </c>
      <c r="C1304" s="75" t="s">
        <v>229</v>
      </c>
      <c r="D1304" s="75" t="s">
        <v>311</v>
      </c>
      <c r="E1304" s="75" t="str">
        <f t="shared" si="21"/>
        <v>০</v>
      </c>
      <c r="F1304" s="22" t="str">
        <f>"8119457817284"</f>
        <v>8119457817284</v>
      </c>
      <c r="G1304" s="75" t="str">
        <f>"২০৭"</f>
        <v>২০৭</v>
      </c>
      <c r="H1304" s="75" t="s">
        <v>326</v>
      </c>
      <c r="I1304" s="75" t="s">
        <v>326</v>
      </c>
      <c r="J1304" s="4"/>
    </row>
    <row r="1305" spans="1:10" x14ac:dyDescent="0.25">
      <c r="A1305" s="39">
        <v>1304</v>
      </c>
      <c r="B1305" s="3" t="s">
        <v>79</v>
      </c>
      <c r="C1305" s="75" t="s">
        <v>186</v>
      </c>
      <c r="D1305" s="75" t="s">
        <v>311</v>
      </c>
      <c r="E1305" s="75" t="str">
        <f t="shared" si="21"/>
        <v>০</v>
      </c>
      <c r="F1305" s="22" t="str">
        <f>"8119457817099"</f>
        <v>8119457817099</v>
      </c>
      <c r="G1305" s="75" t="str">
        <f>"২০৬"</f>
        <v>২০৬</v>
      </c>
      <c r="H1305" s="75" t="s">
        <v>331</v>
      </c>
      <c r="I1305" s="75" t="s">
        <v>331</v>
      </c>
      <c r="J1305" s="4"/>
    </row>
    <row r="1306" spans="1:10" x14ac:dyDescent="0.25">
      <c r="A1306" s="39">
        <v>1305</v>
      </c>
      <c r="B1306" s="3" t="s">
        <v>80</v>
      </c>
      <c r="C1306" s="75" t="s">
        <v>230</v>
      </c>
      <c r="D1306" s="75" t="s">
        <v>303</v>
      </c>
      <c r="E1306" s="75" t="str">
        <f t="shared" si="21"/>
        <v>০</v>
      </c>
      <c r="F1306" s="22" t="str">
        <f>"8119457810209"</f>
        <v>8119457810209</v>
      </c>
      <c r="G1306" s="75" t="str">
        <f>"২০৫"</f>
        <v>২০৫</v>
      </c>
      <c r="H1306" s="75" t="s">
        <v>329</v>
      </c>
      <c r="I1306" s="75" t="s">
        <v>329</v>
      </c>
      <c r="J1306" s="4"/>
    </row>
    <row r="1307" spans="1:10" x14ac:dyDescent="0.25">
      <c r="A1307" s="39">
        <v>1306</v>
      </c>
      <c r="B1307" s="3" t="s">
        <v>81</v>
      </c>
      <c r="C1307" s="75" t="s">
        <v>231</v>
      </c>
      <c r="D1307" s="75" t="s">
        <v>303</v>
      </c>
      <c r="E1307" s="75" t="str">
        <f t="shared" si="21"/>
        <v>০</v>
      </c>
      <c r="F1307" s="22" t="str">
        <f>"8119457816975"</f>
        <v>8119457816975</v>
      </c>
      <c r="G1307" s="75" t="str">
        <f>"২০৪"</f>
        <v>২০৪</v>
      </c>
      <c r="H1307" s="75" t="s">
        <v>332</v>
      </c>
      <c r="I1307" s="75" t="s">
        <v>332</v>
      </c>
      <c r="J1307" s="4"/>
    </row>
    <row r="1308" spans="1:10" x14ac:dyDescent="0.25">
      <c r="A1308" s="39">
        <v>1307</v>
      </c>
      <c r="B1308" s="3" t="s">
        <v>82</v>
      </c>
      <c r="C1308" s="75" t="s">
        <v>232</v>
      </c>
      <c r="D1308" s="75" t="s">
        <v>303</v>
      </c>
      <c r="E1308" s="75" t="str">
        <f t="shared" si="21"/>
        <v>০</v>
      </c>
      <c r="F1308" s="22" t="str">
        <f>"8119457816965"</f>
        <v>8119457816965</v>
      </c>
      <c r="G1308" s="75" t="str">
        <f>"২০৩"</f>
        <v>২০৩</v>
      </c>
      <c r="H1308" s="75" t="s">
        <v>316</v>
      </c>
      <c r="I1308" s="75" t="s">
        <v>316</v>
      </c>
      <c r="J1308" s="4"/>
    </row>
    <row r="1309" spans="1:10" x14ac:dyDescent="0.25">
      <c r="A1309" s="39">
        <v>1308</v>
      </c>
      <c r="B1309" s="3" t="s">
        <v>83</v>
      </c>
      <c r="C1309" s="75" t="s">
        <v>233</v>
      </c>
      <c r="D1309" s="75" t="s">
        <v>303</v>
      </c>
      <c r="E1309" s="75" t="str">
        <f t="shared" si="21"/>
        <v>০</v>
      </c>
      <c r="F1309" s="22" t="str">
        <f>"8119457816878"</f>
        <v>8119457816878</v>
      </c>
      <c r="G1309" s="75" t="str">
        <f>"২০২"</f>
        <v>২০২</v>
      </c>
      <c r="H1309" s="75" t="s">
        <v>330</v>
      </c>
      <c r="I1309" s="75" t="s">
        <v>330</v>
      </c>
      <c r="J1309" s="4"/>
    </row>
    <row r="1310" spans="1:10" x14ac:dyDescent="0.25">
      <c r="A1310" s="39">
        <v>1309</v>
      </c>
      <c r="B1310" s="3" t="s">
        <v>84</v>
      </c>
      <c r="C1310" s="75" t="s">
        <v>113</v>
      </c>
      <c r="D1310" s="75" t="s">
        <v>303</v>
      </c>
      <c r="E1310" s="75" t="str">
        <f t="shared" si="21"/>
        <v>০</v>
      </c>
      <c r="F1310" s="22" t="str">
        <f>"8119457816891"</f>
        <v>8119457816891</v>
      </c>
      <c r="G1310" s="75" t="str">
        <f>"২০১"</f>
        <v>২০১</v>
      </c>
      <c r="H1310" s="75" t="s">
        <v>333</v>
      </c>
      <c r="I1310" s="75" t="s">
        <v>333</v>
      </c>
      <c r="J1310" s="4"/>
    </row>
    <row r="1311" spans="1:10" x14ac:dyDescent="0.25">
      <c r="A1311" s="39">
        <v>1310</v>
      </c>
      <c r="B1311" s="3" t="s">
        <v>45</v>
      </c>
      <c r="C1311" s="75" t="s">
        <v>204</v>
      </c>
      <c r="D1311" s="75" t="s">
        <v>303</v>
      </c>
      <c r="E1311" s="75" t="str">
        <f t="shared" si="21"/>
        <v>০</v>
      </c>
      <c r="F1311" s="22" t="str">
        <f>"8119457816987"</f>
        <v>8119457816987</v>
      </c>
      <c r="G1311" s="75" t="str">
        <f>"২০০"</f>
        <v>২০০</v>
      </c>
      <c r="H1311" s="75" t="s">
        <v>319</v>
      </c>
      <c r="I1311" s="75" t="s">
        <v>319</v>
      </c>
      <c r="J1311" s="4"/>
    </row>
    <row r="1312" spans="1:10" x14ac:dyDescent="0.25">
      <c r="A1312" s="39">
        <v>1311</v>
      </c>
      <c r="B1312" s="3" t="s">
        <v>85</v>
      </c>
      <c r="C1312" s="75" t="s">
        <v>69</v>
      </c>
      <c r="D1312" s="75" t="s">
        <v>303</v>
      </c>
      <c r="E1312" s="75" t="str">
        <f t="shared" si="21"/>
        <v>০</v>
      </c>
      <c r="F1312" s="22" t="str">
        <f>"8119457810106"</f>
        <v>8119457810106</v>
      </c>
      <c r="G1312" s="75" t="str">
        <f>"১৯৯"</f>
        <v>১৯৯</v>
      </c>
      <c r="H1312" s="75" t="s">
        <v>322</v>
      </c>
      <c r="I1312" s="75" t="s">
        <v>322</v>
      </c>
      <c r="J1312" s="4"/>
    </row>
    <row r="1313" spans="1:10" x14ac:dyDescent="0.25">
      <c r="A1313" s="39">
        <v>1312</v>
      </c>
      <c r="B1313" s="3" t="s">
        <v>86</v>
      </c>
      <c r="C1313" s="75" t="s">
        <v>234</v>
      </c>
      <c r="D1313" s="75" t="s">
        <v>303</v>
      </c>
      <c r="E1313" s="75" t="str">
        <f t="shared" si="21"/>
        <v>০</v>
      </c>
      <c r="F1313" s="22" t="str">
        <f>"8119457816985"</f>
        <v>8119457816985</v>
      </c>
      <c r="G1313" s="75" t="str">
        <f>"১৯৮"</f>
        <v>১৯৮</v>
      </c>
      <c r="H1313" s="75" t="s">
        <v>319</v>
      </c>
      <c r="I1313" s="75" t="s">
        <v>319</v>
      </c>
      <c r="J1313" s="4"/>
    </row>
    <row r="1314" spans="1:10" x14ac:dyDescent="0.25">
      <c r="A1314" s="39">
        <v>1313</v>
      </c>
      <c r="B1314" s="3" t="s">
        <v>69</v>
      </c>
      <c r="C1314" s="75" t="s">
        <v>235</v>
      </c>
      <c r="D1314" s="75" t="s">
        <v>303</v>
      </c>
      <c r="E1314" s="75" t="str">
        <f t="shared" si="21"/>
        <v>০</v>
      </c>
      <c r="F1314" s="22" t="str">
        <f>"8119457816880"</f>
        <v>8119457816880</v>
      </c>
      <c r="G1314" s="75" t="str">
        <f>"১৯৭"</f>
        <v>১৯৭</v>
      </c>
      <c r="H1314" s="75" t="s">
        <v>315</v>
      </c>
      <c r="I1314" s="75" t="s">
        <v>315</v>
      </c>
      <c r="J1314" s="4"/>
    </row>
    <row r="1315" spans="1:10" x14ac:dyDescent="0.25">
      <c r="A1315" s="39">
        <v>1314</v>
      </c>
      <c r="B1315" s="3" t="s">
        <v>87</v>
      </c>
      <c r="C1315" s="75" t="s">
        <v>236</v>
      </c>
      <c r="D1315" s="75" t="s">
        <v>303</v>
      </c>
      <c r="E1315" s="75" t="str">
        <f t="shared" si="21"/>
        <v>০</v>
      </c>
      <c r="F1315" s="22" t="str">
        <f>"8119457816903"</f>
        <v>8119457816903</v>
      </c>
      <c r="G1315" s="75" t="str">
        <f>"১৯৬"</f>
        <v>১৯৬</v>
      </c>
      <c r="H1315" s="75" t="s">
        <v>316</v>
      </c>
      <c r="I1315" s="75" t="s">
        <v>316</v>
      </c>
      <c r="J1315" s="4"/>
    </row>
    <row r="1316" spans="1:10" x14ac:dyDescent="0.25">
      <c r="A1316" s="39">
        <v>1315</v>
      </c>
      <c r="B1316" s="3" t="s">
        <v>34</v>
      </c>
      <c r="C1316" s="75" t="s">
        <v>237</v>
      </c>
      <c r="D1316" s="75" t="s">
        <v>303</v>
      </c>
      <c r="E1316" s="75" t="str">
        <f t="shared" si="21"/>
        <v>০</v>
      </c>
      <c r="F1316" s="22" t="str">
        <f>"8119457816874"</f>
        <v>8119457816874</v>
      </c>
      <c r="G1316" s="75" t="str">
        <f>"১৯৫"</f>
        <v>১৯৫</v>
      </c>
      <c r="H1316" s="75" t="s">
        <v>317</v>
      </c>
      <c r="I1316" s="75" t="s">
        <v>317</v>
      </c>
      <c r="J1316" s="4"/>
    </row>
    <row r="1317" spans="1:10" x14ac:dyDescent="0.25">
      <c r="A1317" s="39">
        <v>1316</v>
      </c>
      <c r="B1317" s="3" t="s">
        <v>55</v>
      </c>
      <c r="C1317" s="75" t="s">
        <v>238</v>
      </c>
      <c r="D1317" s="75" t="s">
        <v>303</v>
      </c>
      <c r="E1317" s="75" t="str">
        <f t="shared" si="21"/>
        <v>০</v>
      </c>
      <c r="F1317" s="22" t="str">
        <f>"8119457816918"</f>
        <v>8119457816918</v>
      </c>
      <c r="G1317" s="75" t="str">
        <f>"১৯৪"</f>
        <v>১৯৪</v>
      </c>
      <c r="H1317" s="75" t="s">
        <v>318</v>
      </c>
      <c r="I1317" s="75" t="s">
        <v>318</v>
      </c>
      <c r="J1317" s="4"/>
    </row>
    <row r="1318" spans="1:10" x14ac:dyDescent="0.25">
      <c r="A1318" s="39">
        <v>1317</v>
      </c>
      <c r="B1318" s="3" t="s">
        <v>54</v>
      </c>
      <c r="C1318" s="75" t="s">
        <v>239</v>
      </c>
      <c r="D1318" s="75" t="s">
        <v>303</v>
      </c>
      <c r="E1318" s="75" t="str">
        <f t="shared" si="21"/>
        <v>০</v>
      </c>
      <c r="F1318" s="22" t="str">
        <f>"8119457816908"</f>
        <v>8119457816908</v>
      </c>
      <c r="G1318" s="75" t="str">
        <f>"১৯৩"</f>
        <v>১৯৩</v>
      </c>
      <c r="H1318" s="75" t="s">
        <v>319</v>
      </c>
      <c r="I1318" s="75" t="s">
        <v>319</v>
      </c>
      <c r="J1318" s="4"/>
    </row>
    <row r="1319" spans="1:10" x14ac:dyDescent="0.25">
      <c r="A1319" s="39">
        <v>1318</v>
      </c>
      <c r="B1319" s="3" t="s">
        <v>88</v>
      </c>
      <c r="C1319" s="75" t="s">
        <v>240</v>
      </c>
      <c r="D1319" s="75" t="s">
        <v>303</v>
      </c>
      <c r="E1319" s="75" t="str">
        <f t="shared" si="21"/>
        <v>০</v>
      </c>
      <c r="F1319" s="22" t="str">
        <f>"8119457817031"</f>
        <v>8119457817031</v>
      </c>
      <c r="G1319" s="75" t="str">
        <f>"১৯২"</f>
        <v>১৯২</v>
      </c>
      <c r="H1319" s="75" t="s">
        <v>320</v>
      </c>
      <c r="I1319" s="75" t="s">
        <v>320</v>
      </c>
      <c r="J1319" s="4"/>
    </row>
    <row r="1320" spans="1:10" x14ac:dyDescent="0.25">
      <c r="A1320" s="39">
        <v>1319</v>
      </c>
      <c r="B1320" s="3" t="s">
        <v>89</v>
      </c>
      <c r="C1320" s="75" t="s">
        <v>241</v>
      </c>
      <c r="D1320" s="75" t="s">
        <v>303</v>
      </c>
      <c r="E1320" s="75" t="str">
        <f t="shared" si="21"/>
        <v>০</v>
      </c>
      <c r="F1320" s="22" t="str">
        <f>"8119457816978"</f>
        <v>8119457816978</v>
      </c>
      <c r="G1320" s="75" t="str">
        <f>"১৯১"</f>
        <v>১৯১</v>
      </c>
      <c r="H1320" s="75" t="s">
        <v>315</v>
      </c>
      <c r="I1320" s="75" t="s">
        <v>315</v>
      </c>
      <c r="J1320" s="4"/>
    </row>
    <row r="1321" spans="1:10" x14ac:dyDescent="0.25">
      <c r="A1321" s="39">
        <v>1320</v>
      </c>
      <c r="B1321" s="3" t="s">
        <v>90</v>
      </c>
      <c r="C1321" s="75" t="s">
        <v>242</v>
      </c>
      <c r="D1321" s="75" t="s">
        <v>303</v>
      </c>
      <c r="E1321" s="75" t="str">
        <f t="shared" si="21"/>
        <v>০</v>
      </c>
      <c r="F1321" s="22" t="str">
        <f>"8119457816990"</f>
        <v>8119457816990</v>
      </c>
      <c r="G1321" s="75" t="str">
        <f>"১৯০"</f>
        <v>১৯০</v>
      </c>
      <c r="H1321" s="75" t="s">
        <v>313</v>
      </c>
      <c r="I1321" s="75" t="s">
        <v>313</v>
      </c>
      <c r="J1321" s="4"/>
    </row>
    <row r="1322" spans="1:10" x14ac:dyDescent="0.25">
      <c r="A1322" s="39">
        <v>1321</v>
      </c>
      <c r="B1322" s="3" t="s">
        <v>32</v>
      </c>
      <c r="C1322" s="75" t="s">
        <v>75</v>
      </c>
      <c r="D1322" s="75" t="s">
        <v>303</v>
      </c>
      <c r="E1322" s="75" t="str">
        <f t="shared" ref="E1322:E1330" si="22">"০"</f>
        <v>০</v>
      </c>
      <c r="F1322" s="22" t="str">
        <f>"8119457816920"</f>
        <v>8119457816920</v>
      </c>
      <c r="G1322" s="75" t="str">
        <f>"১৮৯"</f>
        <v>১৮৯</v>
      </c>
      <c r="H1322" s="75" t="s">
        <v>314</v>
      </c>
      <c r="I1322" s="75" t="s">
        <v>314</v>
      </c>
      <c r="J1322" s="4"/>
    </row>
    <row r="1323" spans="1:10" x14ac:dyDescent="0.25">
      <c r="A1323" s="39">
        <v>1322</v>
      </c>
      <c r="B1323" s="3" t="s">
        <v>85</v>
      </c>
      <c r="C1323" s="75" t="s">
        <v>243</v>
      </c>
      <c r="D1323" s="75" t="s">
        <v>303</v>
      </c>
      <c r="E1323" s="75" t="str">
        <f t="shared" si="22"/>
        <v>০</v>
      </c>
      <c r="F1323" s="22" t="str">
        <f>"8119457816922"</f>
        <v>8119457816922</v>
      </c>
      <c r="G1323" s="75" t="str">
        <f>"১৮৮"</f>
        <v>১৮৮</v>
      </c>
      <c r="H1323" s="75" t="s">
        <v>321</v>
      </c>
      <c r="I1323" s="75" t="s">
        <v>321</v>
      </c>
      <c r="J1323" s="4"/>
    </row>
    <row r="1324" spans="1:10" x14ac:dyDescent="0.25">
      <c r="A1324" s="39">
        <v>1323</v>
      </c>
      <c r="B1324" s="3" t="s">
        <v>91</v>
      </c>
      <c r="C1324" s="75" t="s">
        <v>240</v>
      </c>
      <c r="D1324" s="75" t="s">
        <v>303</v>
      </c>
      <c r="E1324" s="75" t="str">
        <f t="shared" si="22"/>
        <v>০</v>
      </c>
      <c r="F1324" s="22" t="str">
        <f>"8119457816895"</f>
        <v>8119457816895</v>
      </c>
      <c r="G1324" s="75" t="str">
        <f>"১৮৭"</f>
        <v>১৮৭</v>
      </c>
      <c r="H1324" s="75" t="s">
        <v>322</v>
      </c>
      <c r="I1324" s="75" t="s">
        <v>322</v>
      </c>
      <c r="J1324" s="4"/>
    </row>
    <row r="1325" spans="1:10" x14ac:dyDescent="0.25">
      <c r="A1325" s="39">
        <v>1324</v>
      </c>
      <c r="B1325" s="3" t="s">
        <v>92</v>
      </c>
      <c r="C1325" s="75" t="s">
        <v>244</v>
      </c>
      <c r="D1325" s="75" t="s">
        <v>303</v>
      </c>
      <c r="E1325" s="75" t="str">
        <f t="shared" si="22"/>
        <v>০</v>
      </c>
      <c r="F1325" s="22" t="str">
        <f>"8119457816989"</f>
        <v>8119457816989</v>
      </c>
      <c r="G1325" s="75" t="str">
        <f>"১৮৬"</f>
        <v>১৮৬</v>
      </c>
      <c r="H1325" s="75" t="s">
        <v>314</v>
      </c>
      <c r="I1325" s="75" t="s">
        <v>314</v>
      </c>
      <c r="J1325" s="4"/>
    </row>
    <row r="1326" spans="1:10" x14ac:dyDescent="0.25">
      <c r="A1326" s="39">
        <v>1325</v>
      </c>
      <c r="B1326" s="3" t="s">
        <v>93</v>
      </c>
      <c r="C1326" s="75" t="s">
        <v>245</v>
      </c>
      <c r="D1326" s="75" t="s">
        <v>303</v>
      </c>
      <c r="E1326" s="75" t="str">
        <f t="shared" si="22"/>
        <v>০</v>
      </c>
      <c r="F1326" s="22" t="str">
        <f>"8119457817018"</f>
        <v>8119457817018</v>
      </c>
      <c r="G1326" s="75" t="str">
        <f>"১৮৫"</f>
        <v>১৮৫</v>
      </c>
      <c r="H1326" s="75" t="s">
        <v>323</v>
      </c>
      <c r="I1326" s="75" t="s">
        <v>323</v>
      </c>
      <c r="J1326" s="4"/>
    </row>
    <row r="1327" spans="1:10" x14ac:dyDescent="0.25">
      <c r="A1327" s="39">
        <v>1326</v>
      </c>
      <c r="B1327" s="3" t="s">
        <v>94</v>
      </c>
      <c r="C1327" s="75" t="s">
        <v>246</v>
      </c>
      <c r="D1327" s="75" t="s">
        <v>303</v>
      </c>
      <c r="E1327" s="75" t="str">
        <f t="shared" si="22"/>
        <v>০</v>
      </c>
      <c r="F1327" s="22" t="str">
        <f>"8119457816964"</f>
        <v>8119457816964</v>
      </c>
      <c r="G1327" s="75" t="str">
        <f>"১৮৪"</f>
        <v>১৮৪</v>
      </c>
      <c r="H1327" s="75" t="s">
        <v>324</v>
      </c>
      <c r="I1327" s="75" t="s">
        <v>324</v>
      </c>
      <c r="J1327" s="4"/>
    </row>
    <row r="1328" spans="1:10" x14ac:dyDescent="0.25">
      <c r="A1328" s="39">
        <v>1327</v>
      </c>
      <c r="B1328" s="3" t="s">
        <v>95</v>
      </c>
      <c r="C1328" s="75" t="s">
        <v>246</v>
      </c>
      <c r="D1328" s="75" t="s">
        <v>303</v>
      </c>
      <c r="E1328" s="75" t="str">
        <f t="shared" si="22"/>
        <v>০</v>
      </c>
      <c r="F1328" s="22" t="str">
        <f>"8119457816958"</f>
        <v>8119457816958</v>
      </c>
      <c r="G1328" s="75" t="str">
        <f>"১৮৩"</f>
        <v>১৮৩</v>
      </c>
      <c r="H1328" s="75" t="s">
        <v>325</v>
      </c>
      <c r="I1328" s="75" t="s">
        <v>325</v>
      </c>
      <c r="J1328" s="4"/>
    </row>
    <row r="1329" spans="1:10" x14ac:dyDescent="0.25">
      <c r="A1329" s="39">
        <v>1328</v>
      </c>
      <c r="B1329" s="3" t="s">
        <v>96</v>
      </c>
      <c r="C1329" s="75" t="s">
        <v>246</v>
      </c>
      <c r="D1329" s="75" t="s">
        <v>303</v>
      </c>
      <c r="E1329" s="75" t="str">
        <f t="shared" si="22"/>
        <v>০</v>
      </c>
      <c r="F1329" s="22" t="str">
        <f>"8119457816960"</f>
        <v>8119457816960</v>
      </c>
      <c r="G1329" s="75" t="str">
        <f>"১৮২"</f>
        <v>১৮২</v>
      </c>
      <c r="H1329" s="75" t="s">
        <v>319</v>
      </c>
      <c r="I1329" s="75" t="s">
        <v>319</v>
      </c>
      <c r="J1329" s="4"/>
    </row>
    <row r="1330" spans="1:10" x14ac:dyDescent="0.25">
      <c r="A1330" s="39">
        <v>1329</v>
      </c>
      <c r="B1330" s="3" t="s">
        <v>97</v>
      </c>
      <c r="C1330" s="75" t="s">
        <v>7</v>
      </c>
      <c r="D1330" s="75" t="s">
        <v>303</v>
      </c>
      <c r="E1330" s="75" t="str">
        <f t="shared" si="22"/>
        <v>০</v>
      </c>
      <c r="F1330" s="22" t="str">
        <f>"8119457816968"</f>
        <v>8119457816968</v>
      </c>
      <c r="G1330" s="75" t="str">
        <f>"১৮১"</f>
        <v>১৮১</v>
      </c>
      <c r="H1330" s="75" t="s">
        <v>326</v>
      </c>
      <c r="I1330" s="75" t="s">
        <v>326</v>
      </c>
      <c r="J1330" s="4"/>
    </row>
    <row r="1331" spans="1:10" x14ac:dyDescent="0.25">
      <c r="A1331" s="39">
        <v>1330</v>
      </c>
      <c r="B1331" s="3" t="s">
        <v>2</v>
      </c>
      <c r="C1331" s="75" t="s">
        <v>178</v>
      </c>
      <c r="D1331" s="75" t="s">
        <v>303</v>
      </c>
      <c r="E1331" s="75" t="str">
        <f>"০১৭৩৯৭০২৫৬১"</f>
        <v>০১৭৩৯৭০২৫৬১</v>
      </c>
      <c r="F1331" s="22" t="str">
        <f>"8119457816858"</f>
        <v>8119457816858</v>
      </c>
      <c r="G1331" s="75" t="str">
        <f>"১৮০"</f>
        <v>১৮০</v>
      </c>
      <c r="H1331" s="75" t="s">
        <v>327</v>
      </c>
      <c r="I1331" s="75" t="s">
        <v>327</v>
      </c>
      <c r="J1331" s="4"/>
    </row>
    <row r="1332" spans="1:10" x14ac:dyDescent="0.25">
      <c r="A1332" s="39">
        <v>1331</v>
      </c>
      <c r="B1332" s="3" t="s">
        <v>98</v>
      </c>
      <c r="C1332" s="75" t="s">
        <v>247</v>
      </c>
      <c r="D1332" s="75" t="s">
        <v>303</v>
      </c>
      <c r="E1332" s="75" t="str">
        <f t="shared" ref="E1332:E1395" si="23">"০"</f>
        <v>০</v>
      </c>
      <c r="F1332" s="22" t="str">
        <f>"8119457816927"</f>
        <v>8119457816927</v>
      </c>
      <c r="G1332" s="75" t="str">
        <f>"১৭৯"</f>
        <v>১৭৯</v>
      </c>
      <c r="H1332" s="75" t="s">
        <v>328</v>
      </c>
      <c r="I1332" s="75" t="s">
        <v>328</v>
      </c>
      <c r="J1332" s="4"/>
    </row>
    <row r="1333" spans="1:10" x14ac:dyDescent="0.25">
      <c r="A1333" s="39">
        <v>1332</v>
      </c>
      <c r="B1333" s="3" t="s">
        <v>54</v>
      </c>
      <c r="C1333" s="75" t="s">
        <v>248</v>
      </c>
      <c r="D1333" s="75" t="s">
        <v>303</v>
      </c>
      <c r="E1333" s="75" t="str">
        <f t="shared" si="23"/>
        <v>০</v>
      </c>
      <c r="F1333" s="22" t="str">
        <f>"8119457817008"</f>
        <v>8119457817008</v>
      </c>
      <c r="G1333" s="75" t="str">
        <f>"১৭৮"</f>
        <v>১৭৮</v>
      </c>
      <c r="H1333" s="75" t="s">
        <v>329</v>
      </c>
      <c r="I1333" s="75" t="s">
        <v>329</v>
      </c>
      <c r="J1333" s="4"/>
    </row>
    <row r="1334" spans="1:10" x14ac:dyDescent="0.25">
      <c r="A1334" s="39">
        <v>1333</v>
      </c>
      <c r="B1334" s="3" t="s">
        <v>99</v>
      </c>
      <c r="C1334" s="75" t="s">
        <v>249</v>
      </c>
      <c r="D1334" s="75" t="s">
        <v>303</v>
      </c>
      <c r="E1334" s="75" t="str">
        <f t="shared" si="23"/>
        <v>০</v>
      </c>
      <c r="F1334" s="22" t="str">
        <f>"8119457816926"</f>
        <v>8119457816926</v>
      </c>
      <c r="G1334" s="75" t="str">
        <f>"১৭৭"</f>
        <v>১৭৭</v>
      </c>
      <c r="H1334" s="75" t="s">
        <v>330</v>
      </c>
      <c r="I1334" s="75" t="s">
        <v>330</v>
      </c>
      <c r="J1334" s="4"/>
    </row>
    <row r="1335" spans="1:10" x14ac:dyDescent="0.25">
      <c r="A1335" s="39">
        <v>1334</v>
      </c>
      <c r="B1335" s="3" t="s">
        <v>100</v>
      </c>
      <c r="C1335" s="75" t="s">
        <v>250</v>
      </c>
      <c r="D1335" s="75" t="s">
        <v>303</v>
      </c>
      <c r="E1335" s="75" t="str">
        <f t="shared" si="23"/>
        <v>০</v>
      </c>
      <c r="F1335" s="22" t="str">
        <f>"8119457816997"</f>
        <v>8119457816997</v>
      </c>
      <c r="G1335" s="75" t="str">
        <f>"১৭৬"</f>
        <v>১৭৬</v>
      </c>
      <c r="H1335" s="75" t="s">
        <v>319</v>
      </c>
      <c r="I1335" s="75" t="s">
        <v>319</v>
      </c>
      <c r="J1335" s="4"/>
    </row>
    <row r="1336" spans="1:10" x14ac:dyDescent="0.25">
      <c r="A1336" s="39">
        <v>1335</v>
      </c>
      <c r="B1336" s="3" t="s">
        <v>101</v>
      </c>
      <c r="C1336" s="75" t="s">
        <v>251</v>
      </c>
      <c r="D1336" s="75" t="s">
        <v>303</v>
      </c>
      <c r="E1336" s="75" t="str">
        <f t="shared" si="23"/>
        <v>০</v>
      </c>
      <c r="F1336" s="22" t="str">
        <f>"8119457816900"</f>
        <v>8119457816900</v>
      </c>
      <c r="G1336" s="75" t="str">
        <f>"১৭৫"</f>
        <v>১৭৫</v>
      </c>
      <c r="H1336" s="75" t="s">
        <v>317</v>
      </c>
      <c r="I1336" s="75" t="s">
        <v>317</v>
      </c>
      <c r="J1336" s="4"/>
    </row>
    <row r="1337" spans="1:10" x14ac:dyDescent="0.25">
      <c r="A1337" s="39">
        <v>1336</v>
      </c>
      <c r="B1337" s="3" t="s">
        <v>102</v>
      </c>
      <c r="C1337" s="75" t="s">
        <v>252</v>
      </c>
      <c r="D1337" s="75" t="s">
        <v>303</v>
      </c>
      <c r="E1337" s="75" t="str">
        <f t="shared" si="23"/>
        <v>০</v>
      </c>
      <c r="F1337" s="22" t="str">
        <f>"8119457816889"</f>
        <v>8119457816889</v>
      </c>
      <c r="G1337" s="75" t="str">
        <f>"১৭৪"</f>
        <v>১৭৪</v>
      </c>
      <c r="H1337" s="75" t="s">
        <v>323</v>
      </c>
      <c r="I1337" s="75" t="s">
        <v>323</v>
      </c>
      <c r="J1337" s="4"/>
    </row>
    <row r="1338" spans="1:10" x14ac:dyDescent="0.25">
      <c r="A1338" s="39">
        <v>1337</v>
      </c>
      <c r="B1338" s="3" t="s">
        <v>103</v>
      </c>
      <c r="C1338" s="75" t="s">
        <v>253</v>
      </c>
      <c r="D1338" s="75" t="s">
        <v>303</v>
      </c>
      <c r="E1338" s="75" t="str">
        <f t="shared" si="23"/>
        <v>০</v>
      </c>
      <c r="F1338" s="22" t="str">
        <f>"8119457816999"</f>
        <v>8119457816999</v>
      </c>
      <c r="G1338" s="75" t="str">
        <f>"১৭৩"</f>
        <v>১৭৩</v>
      </c>
      <c r="H1338" s="75" t="s">
        <v>326</v>
      </c>
      <c r="I1338" s="75" t="s">
        <v>326</v>
      </c>
      <c r="J1338" s="4"/>
    </row>
    <row r="1339" spans="1:10" x14ac:dyDescent="0.25">
      <c r="A1339" s="39">
        <v>1338</v>
      </c>
      <c r="B1339" s="3" t="s">
        <v>104</v>
      </c>
      <c r="C1339" s="75" t="s">
        <v>254</v>
      </c>
      <c r="D1339" s="75" t="s">
        <v>303</v>
      </c>
      <c r="E1339" s="75" t="str">
        <f t="shared" si="23"/>
        <v>০</v>
      </c>
      <c r="F1339" s="22" t="str">
        <f>"8119457816866"</f>
        <v>8119457816866</v>
      </c>
      <c r="G1339" s="75" t="str">
        <f>"১৭২"</f>
        <v>১৭২</v>
      </c>
      <c r="H1339" s="75" t="s">
        <v>331</v>
      </c>
      <c r="I1339" s="75" t="s">
        <v>331</v>
      </c>
      <c r="J1339" s="4"/>
    </row>
    <row r="1340" spans="1:10" x14ac:dyDescent="0.25">
      <c r="A1340" s="39">
        <v>1339</v>
      </c>
      <c r="B1340" s="3" t="s">
        <v>105</v>
      </c>
      <c r="C1340" s="75" t="s">
        <v>255</v>
      </c>
      <c r="D1340" s="75" t="s">
        <v>303</v>
      </c>
      <c r="E1340" s="75" t="str">
        <f t="shared" si="23"/>
        <v>০</v>
      </c>
      <c r="F1340" s="22" t="str">
        <f>"8119457816898"</f>
        <v>8119457816898</v>
      </c>
      <c r="G1340" s="75" t="str">
        <f>"১৭১"</f>
        <v>১৭১</v>
      </c>
      <c r="H1340" s="75" t="s">
        <v>329</v>
      </c>
      <c r="I1340" s="75" t="s">
        <v>329</v>
      </c>
      <c r="J1340" s="4"/>
    </row>
    <row r="1341" spans="1:10" x14ac:dyDescent="0.25">
      <c r="A1341" s="39">
        <v>1340</v>
      </c>
      <c r="B1341" s="3" t="s">
        <v>106</v>
      </c>
      <c r="C1341" s="75" t="s">
        <v>256</v>
      </c>
      <c r="D1341" s="75" t="s">
        <v>303</v>
      </c>
      <c r="E1341" s="75" t="str">
        <f t="shared" si="23"/>
        <v>০</v>
      </c>
      <c r="F1341" s="22" t="str">
        <f>"8119457817012"</f>
        <v>8119457817012</v>
      </c>
      <c r="G1341" s="75" t="str">
        <f>"১৭০"</f>
        <v>১৭০</v>
      </c>
      <c r="H1341" s="75" t="s">
        <v>332</v>
      </c>
      <c r="I1341" s="75" t="s">
        <v>332</v>
      </c>
      <c r="J1341" s="4"/>
    </row>
    <row r="1342" spans="1:10" x14ac:dyDescent="0.25">
      <c r="A1342" s="39">
        <v>1341</v>
      </c>
      <c r="B1342" s="3" t="s">
        <v>107</v>
      </c>
      <c r="C1342" s="75" t="s">
        <v>87</v>
      </c>
      <c r="D1342" s="75" t="s">
        <v>303</v>
      </c>
      <c r="E1342" s="75" t="str">
        <f t="shared" si="23"/>
        <v>০</v>
      </c>
      <c r="F1342" s="22" t="str">
        <f>"8119457816904"</f>
        <v>8119457816904</v>
      </c>
      <c r="G1342" s="75" t="str">
        <f>"১৬৯"</f>
        <v>১৬৯</v>
      </c>
      <c r="H1342" s="75" t="s">
        <v>316</v>
      </c>
      <c r="I1342" s="75" t="s">
        <v>316</v>
      </c>
      <c r="J1342" s="4"/>
    </row>
    <row r="1343" spans="1:10" x14ac:dyDescent="0.25">
      <c r="A1343" s="39">
        <v>1342</v>
      </c>
      <c r="B1343" s="3" t="s">
        <v>108</v>
      </c>
      <c r="C1343" s="75" t="s">
        <v>257</v>
      </c>
      <c r="D1343" s="75" t="s">
        <v>303</v>
      </c>
      <c r="E1343" s="75" t="str">
        <f t="shared" si="23"/>
        <v>০</v>
      </c>
      <c r="F1343" s="22" t="str">
        <f>"8119457816954"</f>
        <v>8119457816954</v>
      </c>
      <c r="G1343" s="75" t="str">
        <f>"১৬৮"</f>
        <v>১৬৮</v>
      </c>
      <c r="H1343" s="75" t="s">
        <v>330</v>
      </c>
      <c r="I1343" s="75" t="s">
        <v>330</v>
      </c>
      <c r="J1343" s="4"/>
    </row>
    <row r="1344" spans="1:10" x14ac:dyDescent="0.25">
      <c r="A1344" s="39">
        <v>1343</v>
      </c>
      <c r="B1344" s="3" t="s">
        <v>109</v>
      </c>
      <c r="C1344" s="75" t="s">
        <v>200</v>
      </c>
      <c r="D1344" s="75" t="s">
        <v>303</v>
      </c>
      <c r="E1344" s="75" t="str">
        <f t="shared" si="23"/>
        <v>০</v>
      </c>
      <c r="F1344" s="22" t="str">
        <f>"8119457816902"</f>
        <v>8119457816902</v>
      </c>
      <c r="G1344" s="75" t="str">
        <f>"১৬৭"</f>
        <v>১৬৭</v>
      </c>
      <c r="H1344" s="75" t="s">
        <v>333</v>
      </c>
      <c r="I1344" s="75" t="s">
        <v>333</v>
      </c>
      <c r="J1344" s="4"/>
    </row>
    <row r="1345" spans="1:10" x14ac:dyDescent="0.25">
      <c r="A1345" s="39">
        <v>1344</v>
      </c>
      <c r="B1345" s="3" t="s">
        <v>110</v>
      </c>
      <c r="C1345" s="75" t="s">
        <v>258</v>
      </c>
      <c r="D1345" s="75" t="s">
        <v>303</v>
      </c>
      <c r="E1345" s="75" t="str">
        <f t="shared" si="23"/>
        <v>০</v>
      </c>
      <c r="F1345" s="22" t="str">
        <f>"8119457816910"</f>
        <v>8119457816910</v>
      </c>
      <c r="G1345" s="75" t="str">
        <f>"১৬৬"</f>
        <v>১৬৬</v>
      </c>
      <c r="H1345" s="75" t="s">
        <v>319</v>
      </c>
      <c r="I1345" s="75" t="s">
        <v>319</v>
      </c>
      <c r="J1345" s="4"/>
    </row>
    <row r="1346" spans="1:10" x14ac:dyDescent="0.25">
      <c r="A1346" s="39">
        <v>1345</v>
      </c>
      <c r="B1346" s="3" t="s">
        <v>111</v>
      </c>
      <c r="C1346" s="75" t="s">
        <v>231</v>
      </c>
      <c r="D1346" s="75" t="s">
        <v>303</v>
      </c>
      <c r="E1346" s="75" t="str">
        <f t="shared" si="23"/>
        <v>০</v>
      </c>
      <c r="F1346" s="22" t="str">
        <f>"8119457816983"</f>
        <v>8119457816983</v>
      </c>
      <c r="G1346" s="75" t="str">
        <f>"১৬৫"</f>
        <v>১৬৫</v>
      </c>
      <c r="H1346" s="75" t="s">
        <v>322</v>
      </c>
      <c r="I1346" s="75" t="s">
        <v>322</v>
      </c>
      <c r="J1346" s="4"/>
    </row>
    <row r="1347" spans="1:10" x14ac:dyDescent="0.25">
      <c r="A1347" s="39">
        <v>1346</v>
      </c>
      <c r="B1347" s="3" t="s">
        <v>112</v>
      </c>
      <c r="C1347" s="75" t="s">
        <v>259</v>
      </c>
      <c r="D1347" s="75" t="s">
        <v>303</v>
      </c>
      <c r="E1347" s="75" t="str">
        <f t="shared" si="23"/>
        <v>০</v>
      </c>
      <c r="F1347" s="22" t="str">
        <f>"8119457816936"</f>
        <v>8119457816936</v>
      </c>
      <c r="G1347" s="75" t="str">
        <f>"১৬৪"</f>
        <v>১৬৪</v>
      </c>
      <c r="H1347" s="75" t="s">
        <v>319</v>
      </c>
      <c r="I1347" s="75" t="s">
        <v>319</v>
      </c>
      <c r="J1347" s="4"/>
    </row>
    <row r="1348" spans="1:10" x14ac:dyDescent="0.25">
      <c r="A1348" s="39">
        <v>1347</v>
      </c>
      <c r="B1348" s="3" t="s">
        <v>113</v>
      </c>
      <c r="C1348" s="75" t="s">
        <v>260</v>
      </c>
      <c r="D1348" s="75" t="s">
        <v>303</v>
      </c>
      <c r="E1348" s="75" t="str">
        <f t="shared" si="23"/>
        <v>০</v>
      </c>
      <c r="F1348" s="22" t="str">
        <f>"8119457816887"</f>
        <v>8119457816887</v>
      </c>
      <c r="G1348" s="75" t="str">
        <f>"১৬৩"</f>
        <v>১৬৩</v>
      </c>
      <c r="H1348" s="75" t="s">
        <v>317</v>
      </c>
      <c r="I1348" s="75" t="s">
        <v>317</v>
      </c>
      <c r="J1348" s="4"/>
    </row>
    <row r="1349" spans="1:10" x14ac:dyDescent="0.25">
      <c r="A1349" s="39">
        <v>1348</v>
      </c>
      <c r="B1349" s="3" t="s">
        <v>114</v>
      </c>
      <c r="C1349" s="75" t="s">
        <v>261</v>
      </c>
      <c r="D1349" s="75" t="s">
        <v>303</v>
      </c>
      <c r="E1349" s="75" t="str">
        <f t="shared" si="23"/>
        <v>০</v>
      </c>
      <c r="F1349" s="22" t="str">
        <f>"8119457817001"</f>
        <v>8119457817001</v>
      </c>
      <c r="G1349" s="75" t="str">
        <f>"১৬২"</f>
        <v>১৬২</v>
      </c>
      <c r="H1349" s="75" t="s">
        <v>318</v>
      </c>
      <c r="I1349" s="75" t="s">
        <v>318</v>
      </c>
      <c r="J1349" s="4"/>
    </row>
    <row r="1350" spans="1:10" x14ac:dyDescent="0.25">
      <c r="A1350" s="39">
        <v>1349</v>
      </c>
      <c r="B1350" s="3" t="s">
        <v>115</v>
      </c>
      <c r="C1350" s="75" t="s">
        <v>29</v>
      </c>
      <c r="D1350" s="75" t="s">
        <v>303</v>
      </c>
      <c r="E1350" s="75" t="str">
        <f t="shared" si="23"/>
        <v>০</v>
      </c>
      <c r="F1350" s="22" t="str">
        <f>"8119457816951"</f>
        <v>8119457816951</v>
      </c>
      <c r="G1350" s="75" t="str">
        <f>"১৬১"</f>
        <v>১৬১</v>
      </c>
      <c r="H1350" s="75" t="s">
        <v>319</v>
      </c>
      <c r="I1350" s="75" t="s">
        <v>319</v>
      </c>
      <c r="J1350" s="4"/>
    </row>
    <row r="1351" spans="1:10" x14ac:dyDescent="0.25">
      <c r="A1351" s="39">
        <v>1350</v>
      </c>
      <c r="B1351" s="3" t="s">
        <v>2835</v>
      </c>
      <c r="C1351" s="75" t="s">
        <v>2836</v>
      </c>
      <c r="D1351" s="75" t="s">
        <v>303</v>
      </c>
      <c r="E1351" s="75" t="str">
        <f t="shared" si="23"/>
        <v>০</v>
      </c>
      <c r="F1351" s="22" t="str">
        <f>"8119457816862"</f>
        <v>8119457816862</v>
      </c>
      <c r="G1351" s="75" t="str">
        <f>"১৬০"</f>
        <v>১৬০</v>
      </c>
      <c r="H1351" s="75" t="s">
        <v>320</v>
      </c>
      <c r="I1351" s="75" t="s">
        <v>320</v>
      </c>
      <c r="J1351" s="4"/>
    </row>
    <row r="1352" spans="1:10" x14ac:dyDescent="0.25">
      <c r="A1352" s="39">
        <v>1351</v>
      </c>
      <c r="B1352" s="3" t="s">
        <v>7</v>
      </c>
      <c r="C1352" s="75" t="s">
        <v>262</v>
      </c>
      <c r="D1352" s="75" t="s">
        <v>303</v>
      </c>
      <c r="E1352" s="75" t="str">
        <f t="shared" si="23"/>
        <v>০</v>
      </c>
      <c r="F1352" s="22" t="str">
        <f>"8119457816852"</f>
        <v>8119457816852</v>
      </c>
      <c r="G1352" s="75" t="str">
        <f>"১৫৯"</f>
        <v>১৫৯</v>
      </c>
      <c r="H1352" s="75" t="s">
        <v>315</v>
      </c>
      <c r="I1352" s="75" t="s">
        <v>315</v>
      </c>
      <c r="J1352" s="4"/>
    </row>
    <row r="1353" spans="1:10" x14ac:dyDescent="0.25">
      <c r="A1353" s="39">
        <v>1352</v>
      </c>
      <c r="B1353" s="3" t="s">
        <v>116</v>
      </c>
      <c r="C1353" s="75" t="s">
        <v>256</v>
      </c>
      <c r="D1353" s="75" t="s">
        <v>303</v>
      </c>
      <c r="E1353" s="75" t="str">
        <f t="shared" si="23"/>
        <v>০</v>
      </c>
      <c r="F1353" s="22" t="str">
        <f>"8119457817036"</f>
        <v>8119457817036</v>
      </c>
      <c r="G1353" s="75" t="str">
        <f>"১৫৮"</f>
        <v>১৫৮</v>
      </c>
      <c r="H1353" s="75" t="s">
        <v>313</v>
      </c>
      <c r="I1353" s="75" t="s">
        <v>313</v>
      </c>
      <c r="J1353" s="4"/>
    </row>
    <row r="1354" spans="1:10" x14ac:dyDescent="0.25">
      <c r="A1354" s="39">
        <v>1353</v>
      </c>
      <c r="B1354" s="3" t="s">
        <v>2463</v>
      </c>
      <c r="C1354" s="75" t="s">
        <v>2837</v>
      </c>
      <c r="D1354" s="75" t="s">
        <v>303</v>
      </c>
      <c r="E1354" s="75" t="str">
        <f t="shared" si="23"/>
        <v>০</v>
      </c>
      <c r="F1354" s="22" t="str">
        <f>"8119457810558"</f>
        <v>8119457810558</v>
      </c>
      <c r="G1354" s="75" t="str">
        <f>"১৫৭"</f>
        <v>১৫৭</v>
      </c>
      <c r="H1354" s="75" t="s">
        <v>314</v>
      </c>
      <c r="I1354" s="75" t="s">
        <v>314</v>
      </c>
      <c r="J1354" s="4"/>
    </row>
    <row r="1355" spans="1:10" x14ac:dyDescent="0.25">
      <c r="A1355" s="39">
        <v>1354</v>
      </c>
      <c r="B1355" s="3" t="s">
        <v>117</v>
      </c>
      <c r="C1355" s="75" t="s">
        <v>263</v>
      </c>
      <c r="D1355" s="75" t="s">
        <v>303</v>
      </c>
      <c r="E1355" s="75" t="str">
        <f t="shared" si="23"/>
        <v>০</v>
      </c>
      <c r="F1355" s="22" t="str">
        <f>"8119457817040"</f>
        <v>8119457817040</v>
      </c>
      <c r="G1355" s="75" t="str">
        <f>"১৫৬"</f>
        <v>১৫৬</v>
      </c>
      <c r="H1355" s="75" t="s">
        <v>321</v>
      </c>
      <c r="I1355" s="75" t="s">
        <v>321</v>
      </c>
      <c r="J1355" s="4"/>
    </row>
    <row r="1356" spans="1:10" x14ac:dyDescent="0.25">
      <c r="A1356" s="39">
        <v>1355</v>
      </c>
      <c r="B1356" s="3" t="s">
        <v>19</v>
      </c>
      <c r="C1356" s="75" t="s">
        <v>264</v>
      </c>
      <c r="D1356" s="75" t="s">
        <v>303</v>
      </c>
      <c r="E1356" s="75" t="str">
        <f t="shared" si="23"/>
        <v>০</v>
      </c>
      <c r="F1356" s="22" t="str">
        <f>"8119457817024"</f>
        <v>8119457817024</v>
      </c>
      <c r="G1356" s="75" t="str">
        <f>"১৫৫"</f>
        <v>১৫৫</v>
      </c>
      <c r="H1356" s="75" t="s">
        <v>322</v>
      </c>
      <c r="I1356" s="75" t="s">
        <v>322</v>
      </c>
      <c r="J1356" s="4"/>
    </row>
    <row r="1357" spans="1:10" x14ac:dyDescent="0.25">
      <c r="A1357" s="39">
        <v>1356</v>
      </c>
      <c r="B1357" s="3" t="s">
        <v>118</v>
      </c>
      <c r="C1357" s="75" t="s">
        <v>240</v>
      </c>
      <c r="D1357" s="75" t="s">
        <v>303</v>
      </c>
      <c r="E1357" s="75" t="str">
        <f t="shared" si="23"/>
        <v>০</v>
      </c>
      <c r="F1357" s="22" t="str">
        <f>"8119457816855"</f>
        <v>8119457816855</v>
      </c>
      <c r="G1357" s="75" t="str">
        <f>"১৫৪"</f>
        <v>১৫৪</v>
      </c>
      <c r="H1357" s="75" t="s">
        <v>314</v>
      </c>
      <c r="I1357" s="75" t="s">
        <v>314</v>
      </c>
      <c r="J1357" s="4"/>
    </row>
    <row r="1358" spans="1:10" x14ac:dyDescent="0.25">
      <c r="A1358" s="39">
        <v>1357</v>
      </c>
      <c r="B1358" s="3" t="s">
        <v>119</v>
      </c>
      <c r="C1358" s="75" t="s">
        <v>265</v>
      </c>
      <c r="D1358" s="75" t="s">
        <v>303</v>
      </c>
      <c r="E1358" s="75" t="str">
        <f t="shared" si="23"/>
        <v>০</v>
      </c>
      <c r="F1358" s="22" t="str">
        <f>"8119457817003"</f>
        <v>8119457817003</v>
      </c>
      <c r="G1358" s="75" t="str">
        <f>"১৫৩"</f>
        <v>১৫৩</v>
      </c>
      <c r="H1358" s="75" t="s">
        <v>323</v>
      </c>
      <c r="I1358" s="75" t="s">
        <v>323</v>
      </c>
      <c r="J1358" s="4"/>
    </row>
    <row r="1359" spans="1:10" x14ac:dyDescent="0.25">
      <c r="A1359" s="39">
        <v>1358</v>
      </c>
      <c r="B1359" s="3" t="s">
        <v>120</v>
      </c>
      <c r="C1359" s="75" t="s">
        <v>247</v>
      </c>
      <c r="D1359" s="75" t="s">
        <v>303</v>
      </c>
      <c r="E1359" s="75" t="str">
        <f t="shared" si="23"/>
        <v>০</v>
      </c>
      <c r="F1359" s="22" t="str">
        <f>"8119457816941"</f>
        <v>8119457816941</v>
      </c>
      <c r="G1359" s="75" t="str">
        <f>"১৫২"</f>
        <v>১৫২</v>
      </c>
      <c r="H1359" s="75" t="s">
        <v>324</v>
      </c>
      <c r="I1359" s="75" t="s">
        <v>324</v>
      </c>
      <c r="J1359" s="4"/>
    </row>
    <row r="1360" spans="1:10" x14ac:dyDescent="0.25">
      <c r="A1360" s="39">
        <v>1359</v>
      </c>
      <c r="B1360" s="3" t="s">
        <v>121</v>
      </c>
      <c r="C1360" s="75" t="s">
        <v>247</v>
      </c>
      <c r="D1360" s="75" t="s">
        <v>303</v>
      </c>
      <c r="E1360" s="75" t="str">
        <f t="shared" si="23"/>
        <v>০</v>
      </c>
      <c r="F1360" s="22" t="str">
        <f>"811945781"</f>
        <v>811945781</v>
      </c>
      <c r="G1360" s="75" t="str">
        <f>"১৫১"</f>
        <v>১৫১</v>
      </c>
      <c r="H1360" s="75" t="s">
        <v>325</v>
      </c>
      <c r="I1360" s="75" t="s">
        <v>325</v>
      </c>
      <c r="J1360" s="4"/>
    </row>
    <row r="1361" spans="1:10" x14ac:dyDescent="0.25">
      <c r="A1361" s="39">
        <v>1360</v>
      </c>
      <c r="B1361" s="3" t="s">
        <v>122</v>
      </c>
      <c r="C1361" s="75" t="s">
        <v>245</v>
      </c>
      <c r="D1361" s="75" t="s">
        <v>303</v>
      </c>
      <c r="E1361" s="75" t="str">
        <f t="shared" si="23"/>
        <v>০</v>
      </c>
      <c r="F1361" s="22" t="str">
        <f>"8119457817043"</f>
        <v>8119457817043</v>
      </c>
      <c r="G1361" s="75" t="str">
        <f>"১৫০"</f>
        <v>১৫০</v>
      </c>
      <c r="H1361" s="75" t="s">
        <v>319</v>
      </c>
      <c r="I1361" s="75" t="s">
        <v>319</v>
      </c>
      <c r="J1361" s="4"/>
    </row>
    <row r="1362" spans="1:10" x14ac:dyDescent="0.25">
      <c r="A1362" s="39">
        <v>1361</v>
      </c>
      <c r="B1362" s="3" t="s">
        <v>123</v>
      </c>
      <c r="C1362" s="75" t="s">
        <v>29</v>
      </c>
      <c r="D1362" s="75" t="s">
        <v>303</v>
      </c>
      <c r="E1362" s="75" t="str">
        <f t="shared" si="23"/>
        <v>০</v>
      </c>
      <c r="F1362" s="22" t="str">
        <f>"8119457816952"</f>
        <v>8119457816952</v>
      </c>
      <c r="G1362" s="75" t="str">
        <f>"১৪৯"</f>
        <v>১৪৯</v>
      </c>
      <c r="H1362" s="75" t="s">
        <v>326</v>
      </c>
      <c r="I1362" s="75" t="s">
        <v>326</v>
      </c>
      <c r="J1362" s="4"/>
    </row>
    <row r="1363" spans="1:10" x14ac:dyDescent="0.25">
      <c r="A1363" s="39">
        <v>1362</v>
      </c>
      <c r="B1363" s="3" t="s">
        <v>45</v>
      </c>
      <c r="C1363" s="75" t="s">
        <v>266</v>
      </c>
      <c r="D1363" s="75" t="s">
        <v>303</v>
      </c>
      <c r="E1363" s="75" t="str">
        <f t="shared" si="23"/>
        <v>০</v>
      </c>
      <c r="F1363" s="22" t="str">
        <f>"8119457816934"</f>
        <v>8119457816934</v>
      </c>
      <c r="G1363" s="75" t="str">
        <f>"১৪৮"</f>
        <v>১৪৮</v>
      </c>
      <c r="H1363" s="75" t="s">
        <v>327</v>
      </c>
      <c r="I1363" s="75" t="s">
        <v>327</v>
      </c>
      <c r="J1363" s="4"/>
    </row>
    <row r="1364" spans="1:10" x14ac:dyDescent="0.25">
      <c r="A1364" s="39">
        <v>1363</v>
      </c>
      <c r="B1364" s="3" t="s">
        <v>124</v>
      </c>
      <c r="C1364" s="75" t="s">
        <v>204</v>
      </c>
      <c r="D1364" s="75" t="s">
        <v>303</v>
      </c>
      <c r="E1364" s="75" t="str">
        <f t="shared" si="23"/>
        <v>০</v>
      </c>
      <c r="F1364" s="22" t="str">
        <f>"8119457816986"</f>
        <v>8119457816986</v>
      </c>
      <c r="G1364" s="75" t="str">
        <f>"১৪৭"</f>
        <v>১৪৭</v>
      </c>
      <c r="H1364" s="75" t="s">
        <v>328</v>
      </c>
      <c r="I1364" s="75" t="s">
        <v>328</v>
      </c>
      <c r="J1364" s="4"/>
    </row>
    <row r="1365" spans="1:10" x14ac:dyDescent="0.25">
      <c r="A1365" s="39">
        <v>1364</v>
      </c>
      <c r="B1365" s="3" t="s">
        <v>125</v>
      </c>
      <c r="C1365" s="75" t="s">
        <v>44</v>
      </c>
      <c r="D1365" s="75" t="s">
        <v>303</v>
      </c>
      <c r="E1365" s="75" t="str">
        <f t="shared" si="23"/>
        <v>০</v>
      </c>
      <c r="F1365" s="22" t="str">
        <f>"8119457814912"</f>
        <v>8119457814912</v>
      </c>
      <c r="G1365" s="75" t="str">
        <f>"১৪৬"</f>
        <v>১৪৬</v>
      </c>
      <c r="H1365" s="75" t="s">
        <v>329</v>
      </c>
      <c r="I1365" s="75" t="s">
        <v>329</v>
      </c>
      <c r="J1365" s="4"/>
    </row>
    <row r="1366" spans="1:10" x14ac:dyDescent="0.25">
      <c r="A1366" s="39">
        <v>1365</v>
      </c>
      <c r="B1366" s="3" t="s">
        <v>126</v>
      </c>
      <c r="C1366" s="75" t="s">
        <v>267</v>
      </c>
      <c r="D1366" s="75" t="s">
        <v>303</v>
      </c>
      <c r="E1366" s="75" t="str">
        <f t="shared" si="23"/>
        <v>০</v>
      </c>
      <c r="F1366" s="22" t="str">
        <f>"8119457817011"</f>
        <v>8119457817011</v>
      </c>
      <c r="G1366" s="75" t="str">
        <f>"১৪৫"</f>
        <v>১৪৫</v>
      </c>
      <c r="H1366" s="75" t="s">
        <v>330</v>
      </c>
      <c r="I1366" s="75" t="s">
        <v>330</v>
      </c>
      <c r="J1366" s="4"/>
    </row>
    <row r="1367" spans="1:10" x14ac:dyDescent="0.25">
      <c r="A1367" s="39">
        <v>1366</v>
      </c>
      <c r="B1367" s="3" t="s">
        <v>127</v>
      </c>
      <c r="C1367" s="75" t="s">
        <v>218</v>
      </c>
      <c r="D1367" s="75" t="s">
        <v>303</v>
      </c>
      <c r="E1367" s="75" t="str">
        <f t="shared" si="23"/>
        <v>০</v>
      </c>
      <c r="F1367" s="22" t="str">
        <f>"8119457817141"</f>
        <v>8119457817141</v>
      </c>
      <c r="G1367" s="75" t="str">
        <f>"১৪৪"</f>
        <v>১৪৪</v>
      </c>
      <c r="H1367" s="75" t="s">
        <v>319</v>
      </c>
      <c r="I1367" s="75" t="s">
        <v>319</v>
      </c>
      <c r="J1367" s="4"/>
    </row>
    <row r="1368" spans="1:10" x14ac:dyDescent="0.25">
      <c r="A1368" s="39">
        <v>1367</v>
      </c>
      <c r="B1368" s="3" t="s">
        <v>128</v>
      </c>
      <c r="C1368" s="75" t="s">
        <v>268</v>
      </c>
      <c r="D1368" s="75" t="s">
        <v>303</v>
      </c>
      <c r="E1368" s="75" t="str">
        <f t="shared" si="23"/>
        <v>০</v>
      </c>
      <c r="F1368" s="22" t="str">
        <f>"8119457817019"</f>
        <v>8119457817019</v>
      </c>
      <c r="G1368" s="75" t="str">
        <f>"১৪৩"</f>
        <v>১৪৩</v>
      </c>
      <c r="H1368" s="75" t="s">
        <v>317</v>
      </c>
      <c r="I1368" s="75" t="s">
        <v>317</v>
      </c>
      <c r="J1368" s="4"/>
    </row>
    <row r="1369" spans="1:10" x14ac:dyDescent="0.25">
      <c r="A1369" s="39">
        <v>1368</v>
      </c>
      <c r="B1369" s="3" t="s">
        <v>69</v>
      </c>
      <c r="C1369" s="75" t="s">
        <v>269</v>
      </c>
      <c r="D1369" s="75" t="s">
        <v>303</v>
      </c>
      <c r="E1369" s="75" t="str">
        <f t="shared" si="23"/>
        <v>০</v>
      </c>
      <c r="F1369" s="22" t="str">
        <f>"8119457816883"</f>
        <v>8119457816883</v>
      </c>
      <c r="G1369" s="75" t="str">
        <f>"১৪২"</f>
        <v>১৪২</v>
      </c>
      <c r="H1369" s="75" t="s">
        <v>323</v>
      </c>
      <c r="I1369" s="75" t="s">
        <v>323</v>
      </c>
      <c r="J1369" s="4"/>
    </row>
    <row r="1370" spans="1:10" x14ac:dyDescent="0.25">
      <c r="A1370" s="39">
        <v>1369</v>
      </c>
      <c r="B1370" s="3" t="s">
        <v>129</v>
      </c>
      <c r="C1370" s="75" t="s">
        <v>232</v>
      </c>
      <c r="D1370" s="75" t="s">
        <v>303</v>
      </c>
      <c r="E1370" s="75" t="str">
        <f t="shared" si="23"/>
        <v>০</v>
      </c>
      <c r="F1370" s="22" t="str">
        <f>"8119457816971"</f>
        <v>8119457816971</v>
      </c>
      <c r="G1370" s="75" t="str">
        <f>"১৪১"</f>
        <v>১৪১</v>
      </c>
      <c r="H1370" s="75" t="s">
        <v>326</v>
      </c>
      <c r="I1370" s="75" t="s">
        <v>326</v>
      </c>
      <c r="J1370" s="4"/>
    </row>
    <row r="1371" spans="1:10" x14ac:dyDescent="0.25">
      <c r="A1371" s="39">
        <v>1370</v>
      </c>
      <c r="B1371" s="3" t="s">
        <v>130</v>
      </c>
      <c r="C1371" s="75" t="s">
        <v>270</v>
      </c>
      <c r="D1371" s="75" t="s">
        <v>303</v>
      </c>
      <c r="E1371" s="75" t="str">
        <f t="shared" si="23"/>
        <v>০</v>
      </c>
      <c r="F1371" s="22" t="str">
        <f>"8119457817002"</f>
        <v>8119457817002</v>
      </c>
      <c r="G1371" s="75" t="str">
        <f>"১৪০"</f>
        <v>১৪০</v>
      </c>
      <c r="H1371" s="75" t="s">
        <v>331</v>
      </c>
      <c r="I1371" s="75" t="s">
        <v>331</v>
      </c>
      <c r="J1371" s="4"/>
    </row>
    <row r="1372" spans="1:10" x14ac:dyDescent="0.25">
      <c r="A1372" s="39">
        <v>1371</v>
      </c>
      <c r="B1372" s="3" t="s">
        <v>131</v>
      </c>
      <c r="C1372" s="75" t="s">
        <v>271</v>
      </c>
      <c r="D1372" s="75" t="s">
        <v>303</v>
      </c>
      <c r="E1372" s="75" t="str">
        <f t="shared" si="23"/>
        <v>০</v>
      </c>
      <c r="F1372" s="22" t="str">
        <f>"8119457816868"</f>
        <v>8119457816868</v>
      </c>
      <c r="G1372" s="75" t="str">
        <f>"১৩৯"</f>
        <v>১৩৯</v>
      </c>
      <c r="H1372" s="75" t="s">
        <v>329</v>
      </c>
      <c r="I1372" s="75" t="s">
        <v>329</v>
      </c>
      <c r="J1372" s="4"/>
    </row>
    <row r="1373" spans="1:10" x14ac:dyDescent="0.25">
      <c r="A1373" s="39">
        <v>1372</v>
      </c>
      <c r="B1373" s="3" t="s">
        <v>132</v>
      </c>
      <c r="C1373" s="75" t="s">
        <v>29</v>
      </c>
      <c r="D1373" s="75" t="s">
        <v>303</v>
      </c>
      <c r="E1373" s="75" t="str">
        <f t="shared" si="23"/>
        <v>০</v>
      </c>
      <c r="F1373" s="22" t="str">
        <f>"8119457816948"</f>
        <v>8119457816948</v>
      </c>
      <c r="G1373" s="75" t="str">
        <f>"১৩৮"</f>
        <v>১৩৮</v>
      </c>
      <c r="H1373" s="75" t="s">
        <v>332</v>
      </c>
      <c r="I1373" s="75" t="s">
        <v>332</v>
      </c>
      <c r="J1373" s="4"/>
    </row>
    <row r="1374" spans="1:10" x14ac:dyDescent="0.25">
      <c r="A1374" s="39">
        <v>1373</v>
      </c>
      <c r="B1374" s="3" t="s">
        <v>133</v>
      </c>
      <c r="C1374" s="75" t="s">
        <v>244</v>
      </c>
      <c r="D1374" s="75" t="s">
        <v>303</v>
      </c>
      <c r="E1374" s="75" t="str">
        <f t="shared" si="23"/>
        <v>০</v>
      </c>
      <c r="F1374" s="22" t="str">
        <f>"8119457817032"</f>
        <v>8119457817032</v>
      </c>
      <c r="G1374" s="75" t="str">
        <f>"১৩৭"</f>
        <v>১৩৭</v>
      </c>
      <c r="H1374" s="75" t="s">
        <v>316</v>
      </c>
      <c r="I1374" s="75" t="s">
        <v>316</v>
      </c>
      <c r="J1374" s="4"/>
    </row>
    <row r="1375" spans="1:10" x14ac:dyDescent="0.25">
      <c r="A1375" s="39">
        <v>1374</v>
      </c>
      <c r="B1375" s="3" t="s">
        <v>78</v>
      </c>
      <c r="C1375" s="75" t="s">
        <v>206</v>
      </c>
      <c r="D1375" s="75" t="s">
        <v>303</v>
      </c>
      <c r="E1375" s="75" t="str">
        <f t="shared" si="23"/>
        <v>০</v>
      </c>
      <c r="F1375" s="22" t="str">
        <f>"8119457816915"</f>
        <v>8119457816915</v>
      </c>
      <c r="G1375" s="75" t="str">
        <f>"১৩৬"</f>
        <v>১৩৬</v>
      </c>
      <c r="H1375" s="75" t="s">
        <v>330</v>
      </c>
      <c r="I1375" s="75" t="s">
        <v>330</v>
      </c>
      <c r="J1375" s="4"/>
    </row>
    <row r="1376" spans="1:10" x14ac:dyDescent="0.25">
      <c r="A1376" s="39">
        <v>1375</v>
      </c>
      <c r="B1376" s="3" t="s">
        <v>134</v>
      </c>
      <c r="C1376" s="75" t="s">
        <v>272</v>
      </c>
      <c r="D1376" s="75" t="s">
        <v>303</v>
      </c>
      <c r="E1376" s="75" t="str">
        <f t="shared" si="23"/>
        <v>০</v>
      </c>
      <c r="F1376" s="22" t="str">
        <f>"8119457816906"</f>
        <v>8119457816906</v>
      </c>
      <c r="G1376" s="75" t="str">
        <f>"১৩৫"</f>
        <v>১৩৫</v>
      </c>
      <c r="H1376" s="75" t="s">
        <v>333</v>
      </c>
      <c r="I1376" s="75" t="s">
        <v>333</v>
      </c>
      <c r="J1376" s="4"/>
    </row>
    <row r="1377" spans="1:10" x14ac:dyDescent="0.25">
      <c r="A1377" s="39">
        <v>1376</v>
      </c>
      <c r="B1377" s="3" t="s">
        <v>2836</v>
      </c>
      <c r="C1377" s="75" t="s">
        <v>273</v>
      </c>
      <c r="D1377" s="75" t="s">
        <v>303</v>
      </c>
      <c r="E1377" s="75" t="str">
        <f t="shared" si="23"/>
        <v>০</v>
      </c>
      <c r="F1377" s="22" t="str">
        <f>"8119457817145"</f>
        <v>8119457817145</v>
      </c>
      <c r="G1377" s="75" t="str">
        <f>"১৩৪"</f>
        <v>১৩৪</v>
      </c>
      <c r="H1377" s="75" t="s">
        <v>319</v>
      </c>
      <c r="I1377" s="75" t="s">
        <v>319</v>
      </c>
      <c r="J1377" s="4"/>
    </row>
    <row r="1378" spans="1:10" x14ac:dyDescent="0.25">
      <c r="A1378" s="39">
        <v>1377</v>
      </c>
      <c r="B1378" s="3" t="s">
        <v>135</v>
      </c>
      <c r="C1378" s="75" t="s">
        <v>204</v>
      </c>
      <c r="D1378" s="75" t="s">
        <v>303</v>
      </c>
      <c r="E1378" s="75" t="str">
        <f t="shared" si="23"/>
        <v>০</v>
      </c>
      <c r="F1378" s="22" t="str">
        <f>"8119457816989"</f>
        <v>8119457816989</v>
      </c>
      <c r="G1378" s="75" t="str">
        <f>"১৩৩"</f>
        <v>১৩৩</v>
      </c>
      <c r="H1378" s="75" t="s">
        <v>322</v>
      </c>
      <c r="I1378" s="75" t="s">
        <v>322</v>
      </c>
      <c r="J1378" s="4"/>
    </row>
    <row r="1379" spans="1:10" x14ac:dyDescent="0.25">
      <c r="A1379" s="39">
        <v>1378</v>
      </c>
      <c r="B1379" s="3" t="s">
        <v>136</v>
      </c>
      <c r="C1379" s="75" t="s">
        <v>274</v>
      </c>
      <c r="D1379" s="75" t="s">
        <v>303</v>
      </c>
      <c r="E1379" s="75" t="str">
        <f t="shared" si="23"/>
        <v>০</v>
      </c>
      <c r="F1379" s="22" t="str">
        <f>"8119457816993"</f>
        <v>8119457816993</v>
      </c>
      <c r="G1379" s="75" t="str">
        <f>"১৩২"</f>
        <v>১৩২</v>
      </c>
      <c r="H1379" s="75" t="s">
        <v>319</v>
      </c>
      <c r="I1379" s="75" t="s">
        <v>319</v>
      </c>
      <c r="J1379" s="4"/>
    </row>
    <row r="1380" spans="1:10" x14ac:dyDescent="0.25">
      <c r="A1380" s="39">
        <v>1379</v>
      </c>
      <c r="B1380" s="3" t="s">
        <v>137</v>
      </c>
      <c r="C1380" s="75" t="s">
        <v>2838</v>
      </c>
      <c r="D1380" s="75" t="s">
        <v>312</v>
      </c>
      <c r="E1380" s="75" t="str">
        <f t="shared" si="23"/>
        <v>০</v>
      </c>
      <c r="F1380" s="22" t="str">
        <f>"8119457817589"</f>
        <v>8119457817589</v>
      </c>
      <c r="G1380" s="75" t="str">
        <f>"১৩১"</f>
        <v>১৩১</v>
      </c>
      <c r="H1380" s="75" t="s">
        <v>315</v>
      </c>
      <c r="I1380" s="75" t="s">
        <v>315</v>
      </c>
      <c r="J1380" s="4"/>
    </row>
    <row r="1381" spans="1:10" x14ac:dyDescent="0.25">
      <c r="A1381" s="39">
        <v>1380</v>
      </c>
      <c r="B1381" s="3" t="s">
        <v>138</v>
      </c>
      <c r="C1381" s="75" t="s">
        <v>275</v>
      </c>
      <c r="D1381" s="75" t="s">
        <v>303</v>
      </c>
      <c r="E1381" s="75" t="str">
        <f t="shared" si="23"/>
        <v>০</v>
      </c>
      <c r="F1381" s="22" t="str">
        <f>"8119457816961"</f>
        <v>8119457816961</v>
      </c>
      <c r="G1381" s="75" t="str">
        <f>"১৩০"</f>
        <v>১৩০</v>
      </c>
      <c r="H1381" s="75" t="s">
        <v>316</v>
      </c>
      <c r="I1381" s="75" t="s">
        <v>316</v>
      </c>
      <c r="J1381" s="4"/>
    </row>
    <row r="1382" spans="1:10" x14ac:dyDescent="0.25">
      <c r="A1382" s="39">
        <v>1381</v>
      </c>
      <c r="B1382" s="3" t="s">
        <v>139</v>
      </c>
      <c r="C1382" s="75" t="s">
        <v>184</v>
      </c>
      <c r="D1382" s="75" t="s">
        <v>312</v>
      </c>
      <c r="E1382" s="75" t="str">
        <f t="shared" si="23"/>
        <v>০</v>
      </c>
      <c r="F1382" s="22" t="str">
        <f>"8119457817311"</f>
        <v>8119457817311</v>
      </c>
      <c r="G1382" s="75" t="str">
        <f>"১২৯"</f>
        <v>১২৯</v>
      </c>
      <c r="H1382" s="75" t="s">
        <v>317</v>
      </c>
      <c r="I1382" s="75" t="s">
        <v>317</v>
      </c>
      <c r="J1382" s="4"/>
    </row>
    <row r="1383" spans="1:10" x14ac:dyDescent="0.25">
      <c r="A1383" s="39">
        <v>1382</v>
      </c>
      <c r="B1383" s="3" t="s">
        <v>140</v>
      </c>
      <c r="C1383" s="75" t="s">
        <v>259</v>
      </c>
      <c r="D1383" s="75" t="s">
        <v>303</v>
      </c>
      <c r="E1383" s="75" t="str">
        <f t="shared" si="23"/>
        <v>০</v>
      </c>
      <c r="F1383" s="22" t="str">
        <f>"8119457816967"</f>
        <v>8119457816967</v>
      </c>
      <c r="G1383" s="75" t="str">
        <f>"১২৮"</f>
        <v>১২৮</v>
      </c>
      <c r="H1383" s="75" t="s">
        <v>318</v>
      </c>
      <c r="I1383" s="75" t="s">
        <v>318</v>
      </c>
      <c r="J1383" s="4"/>
    </row>
    <row r="1384" spans="1:10" x14ac:dyDescent="0.25">
      <c r="A1384" s="39">
        <v>1383</v>
      </c>
      <c r="B1384" s="3" t="s">
        <v>141</v>
      </c>
      <c r="C1384" s="75" t="s">
        <v>276</v>
      </c>
      <c r="D1384" s="75" t="s">
        <v>312</v>
      </c>
      <c r="E1384" s="75" t="str">
        <f t="shared" si="23"/>
        <v>০</v>
      </c>
      <c r="F1384" s="22" t="str">
        <f>"8119457817735"</f>
        <v>8119457817735</v>
      </c>
      <c r="G1384" s="75" t="str">
        <f>"১২৭"</f>
        <v>১২৭</v>
      </c>
      <c r="H1384" s="75" t="s">
        <v>319</v>
      </c>
      <c r="I1384" s="75" t="s">
        <v>319</v>
      </c>
      <c r="J1384" s="4"/>
    </row>
    <row r="1385" spans="1:10" x14ac:dyDescent="0.25">
      <c r="A1385" s="39">
        <v>1384</v>
      </c>
      <c r="B1385" s="3" t="s">
        <v>142</v>
      </c>
      <c r="C1385" s="75" t="s">
        <v>277</v>
      </c>
      <c r="D1385" s="75" t="s">
        <v>303</v>
      </c>
      <c r="E1385" s="75" t="str">
        <f t="shared" si="23"/>
        <v>০</v>
      </c>
      <c r="F1385" s="22" t="str">
        <f>"8119457000105"</f>
        <v>8119457000105</v>
      </c>
      <c r="G1385" s="75" t="str">
        <f>"১২৬"</f>
        <v>১২৬</v>
      </c>
      <c r="H1385" s="75" t="s">
        <v>320</v>
      </c>
      <c r="I1385" s="75" t="s">
        <v>320</v>
      </c>
      <c r="J1385" s="4"/>
    </row>
    <row r="1386" spans="1:10" x14ac:dyDescent="0.25">
      <c r="A1386" s="39">
        <v>1385</v>
      </c>
      <c r="B1386" s="3" t="s">
        <v>143</v>
      </c>
      <c r="C1386" s="75" t="s">
        <v>259</v>
      </c>
      <c r="D1386" s="75" t="s">
        <v>303</v>
      </c>
      <c r="E1386" s="75" t="str">
        <f t="shared" si="23"/>
        <v>০</v>
      </c>
      <c r="F1386" s="22" t="str">
        <f>"8119457816994"</f>
        <v>8119457816994</v>
      </c>
      <c r="G1386" s="75" t="str">
        <f>"১২৫"</f>
        <v>১২৫</v>
      </c>
      <c r="H1386" s="75" t="s">
        <v>315</v>
      </c>
      <c r="I1386" s="75" t="s">
        <v>315</v>
      </c>
      <c r="J1386" s="4"/>
    </row>
    <row r="1387" spans="1:10" x14ac:dyDescent="0.25">
      <c r="A1387" s="39">
        <v>1386</v>
      </c>
      <c r="B1387" s="3" t="s">
        <v>115</v>
      </c>
      <c r="C1387" s="75" t="s">
        <v>278</v>
      </c>
      <c r="D1387" s="75" t="s">
        <v>312</v>
      </c>
      <c r="E1387" s="75" t="str">
        <f t="shared" si="23"/>
        <v>০</v>
      </c>
      <c r="F1387" s="22" t="str">
        <f>"8119457817564"</f>
        <v>8119457817564</v>
      </c>
      <c r="G1387" s="75" t="str">
        <f>"১২৪"</f>
        <v>১২৪</v>
      </c>
      <c r="H1387" s="75" t="s">
        <v>313</v>
      </c>
      <c r="I1387" s="75" t="s">
        <v>313</v>
      </c>
      <c r="J1387" s="4"/>
    </row>
    <row r="1388" spans="1:10" x14ac:dyDescent="0.25">
      <c r="A1388" s="39">
        <v>1387</v>
      </c>
      <c r="B1388" s="3" t="s">
        <v>144</v>
      </c>
      <c r="C1388" s="75" t="s">
        <v>279</v>
      </c>
      <c r="D1388" s="75" t="s">
        <v>311</v>
      </c>
      <c r="E1388" s="75" t="str">
        <f t="shared" si="23"/>
        <v>০</v>
      </c>
      <c r="F1388" s="22" t="str">
        <f>"8119457817138"</f>
        <v>8119457817138</v>
      </c>
      <c r="G1388" s="75" t="str">
        <f>"১২৩"</f>
        <v>১২৩</v>
      </c>
      <c r="H1388" s="75" t="s">
        <v>314</v>
      </c>
      <c r="I1388" s="75" t="s">
        <v>314</v>
      </c>
      <c r="J1388" s="4"/>
    </row>
    <row r="1389" spans="1:10" x14ac:dyDescent="0.25">
      <c r="A1389" s="39">
        <v>1388</v>
      </c>
      <c r="B1389" s="3" t="s">
        <v>145</v>
      </c>
      <c r="C1389" s="75" t="s">
        <v>72</v>
      </c>
      <c r="D1389" s="75" t="s">
        <v>311</v>
      </c>
      <c r="E1389" s="75" t="str">
        <f t="shared" si="23"/>
        <v>০</v>
      </c>
      <c r="F1389" s="22" t="str">
        <f>"8119457817062"</f>
        <v>8119457817062</v>
      </c>
      <c r="G1389" s="75" t="str">
        <f>"১২২"</f>
        <v>১২২</v>
      </c>
      <c r="H1389" s="75" t="s">
        <v>321</v>
      </c>
      <c r="I1389" s="75" t="s">
        <v>321</v>
      </c>
      <c r="J1389" s="4"/>
    </row>
    <row r="1390" spans="1:10" x14ac:dyDescent="0.25">
      <c r="A1390" s="39">
        <v>1389</v>
      </c>
      <c r="B1390" s="3" t="s">
        <v>146</v>
      </c>
      <c r="C1390" s="75" t="s">
        <v>54</v>
      </c>
      <c r="D1390" s="75" t="s">
        <v>311</v>
      </c>
      <c r="E1390" s="75" t="str">
        <f t="shared" si="23"/>
        <v>০</v>
      </c>
      <c r="F1390" s="22" t="str">
        <f>"8119457817110"</f>
        <v>8119457817110</v>
      </c>
      <c r="G1390" s="75" t="str">
        <f>"১২১"</f>
        <v>১২১</v>
      </c>
      <c r="H1390" s="75" t="s">
        <v>322</v>
      </c>
      <c r="I1390" s="75" t="s">
        <v>322</v>
      </c>
      <c r="J1390" s="4"/>
    </row>
    <row r="1391" spans="1:10" x14ac:dyDescent="0.25">
      <c r="A1391" s="39">
        <v>1390</v>
      </c>
      <c r="B1391" s="3" t="s">
        <v>147</v>
      </c>
      <c r="C1391" s="75" t="s">
        <v>54</v>
      </c>
      <c r="D1391" s="75" t="s">
        <v>303</v>
      </c>
      <c r="E1391" s="75" t="str">
        <f t="shared" si="23"/>
        <v>০</v>
      </c>
      <c r="F1391" s="22" t="str">
        <f>"8119457816882"</f>
        <v>8119457816882</v>
      </c>
      <c r="G1391" s="75" t="str">
        <f>"১২০"</f>
        <v>১২০</v>
      </c>
      <c r="H1391" s="75" t="s">
        <v>314</v>
      </c>
      <c r="I1391" s="75" t="s">
        <v>314</v>
      </c>
      <c r="J1391" s="4"/>
    </row>
    <row r="1392" spans="1:10" x14ac:dyDescent="0.25">
      <c r="A1392" s="39">
        <v>1391</v>
      </c>
      <c r="B1392" s="3" t="s">
        <v>148</v>
      </c>
      <c r="C1392" s="75" t="s">
        <v>280</v>
      </c>
      <c r="D1392" s="75" t="s">
        <v>312</v>
      </c>
      <c r="E1392" s="75" t="str">
        <f t="shared" si="23"/>
        <v>০</v>
      </c>
      <c r="F1392" s="22" t="str">
        <f>"8119457817588"</f>
        <v>8119457817588</v>
      </c>
      <c r="G1392" s="75" t="str">
        <f>"১১৯"</f>
        <v>১১৯</v>
      </c>
      <c r="H1392" s="75" t="s">
        <v>323</v>
      </c>
      <c r="I1392" s="75" t="s">
        <v>323</v>
      </c>
      <c r="J1392" s="4"/>
    </row>
    <row r="1393" spans="1:10" x14ac:dyDescent="0.25">
      <c r="A1393" s="39">
        <v>1392</v>
      </c>
      <c r="B1393" s="3" t="s">
        <v>149</v>
      </c>
      <c r="C1393" s="75" t="s">
        <v>210</v>
      </c>
      <c r="D1393" s="75" t="s">
        <v>311</v>
      </c>
      <c r="E1393" s="75" t="str">
        <f t="shared" si="23"/>
        <v>০</v>
      </c>
      <c r="F1393" s="22" t="str">
        <f>"8119457817117"</f>
        <v>8119457817117</v>
      </c>
      <c r="G1393" s="75" t="str">
        <f>"১১৮"</f>
        <v>১১৮</v>
      </c>
      <c r="H1393" s="75" t="s">
        <v>324</v>
      </c>
      <c r="I1393" s="75" t="s">
        <v>324</v>
      </c>
      <c r="J1393" s="4"/>
    </row>
    <row r="1394" spans="1:10" x14ac:dyDescent="0.25">
      <c r="A1394" s="39">
        <v>1393</v>
      </c>
      <c r="B1394" s="3" t="s">
        <v>150</v>
      </c>
      <c r="C1394" s="75" t="s">
        <v>281</v>
      </c>
      <c r="D1394" s="75" t="s">
        <v>311</v>
      </c>
      <c r="E1394" s="75" t="str">
        <f t="shared" si="23"/>
        <v>০</v>
      </c>
      <c r="F1394" s="22" t="str">
        <f>"8119457817335"</f>
        <v>8119457817335</v>
      </c>
      <c r="G1394" s="75" t="str">
        <f>"১১৭"</f>
        <v>১১৭</v>
      </c>
      <c r="H1394" s="75" t="s">
        <v>325</v>
      </c>
      <c r="I1394" s="75" t="s">
        <v>325</v>
      </c>
      <c r="J1394" s="4"/>
    </row>
    <row r="1395" spans="1:10" x14ac:dyDescent="0.25">
      <c r="A1395" s="39">
        <v>1394</v>
      </c>
      <c r="B1395" s="3" t="s">
        <v>151</v>
      </c>
      <c r="C1395" s="75" t="s">
        <v>239</v>
      </c>
      <c r="D1395" s="75" t="s">
        <v>303</v>
      </c>
      <c r="E1395" s="75" t="str">
        <f t="shared" si="23"/>
        <v>০</v>
      </c>
      <c r="F1395" s="22" t="str">
        <f>"8119457816893"</f>
        <v>8119457816893</v>
      </c>
      <c r="G1395" s="75" t="str">
        <f>"১১৬"</f>
        <v>১১৬</v>
      </c>
      <c r="H1395" s="75" t="s">
        <v>319</v>
      </c>
      <c r="I1395" s="75" t="s">
        <v>319</v>
      </c>
      <c r="J1395" s="4"/>
    </row>
    <row r="1396" spans="1:10" x14ac:dyDescent="0.25">
      <c r="A1396" s="39">
        <v>1395</v>
      </c>
      <c r="B1396" s="3" t="s">
        <v>152</v>
      </c>
      <c r="C1396" s="75" t="s">
        <v>282</v>
      </c>
      <c r="D1396" s="75" t="s">
        <v>303</v>
      </c>
      <c r="E1396" s="75" t="str">
        <f t="shared" ref="E1396:E1412" si="24">"০"</f>
        <v>০</v>
      </c>
      <c r="F1396" s="22" t="str">
        <f>"8119457816956"</f>
        <v>8119457816956</v>
      </c>
      <c r="G1396" s="75" t="str">
        <f>"১১৫"</f>
        <v>১১৫</v>
      </c>
      <c r="H1396" s="75" t="s">
        <v>326</v>
      </c>
      <c r="I1396" s="75" t="s">
        <v>326</v>
      </c>
      <c r="J1396" s="4"/>
    </row>
    <row r="1397" spans="1:10" x14ac:dyDescent="0.25">
      <c r="A1397" s="39">
        <v>1396</v>
      </c>
      <c r="B1397" s="3" t="s">
        <v>8</v>
      </c>
      <c r="C1397" s="75" t="s">
        <v>283</v>
      </c>
      <c r="D1397" s="75" t="s">
        <v>303</v>
      </c>
      <c r="E1397" s="75" t="str">
        <f t="shared" si="24"/>
        <v>০</v>
      </c>
      <c r="F1397" s="22" t="str">
        <f>"8119457816912"</f>
        <v>8119457816912</v>
      </c>
      <c r="G1397" s="75" t="str">
        <f>"১১৪"</f>
        <v>১১৪</v>
      </c>
      <c r="H1397" s="75" t="s">
        <v>327</v>
      </c>
      <c r="I1397" s="75" t="s">
        <v>327</v>
      </c>
      <c r="J1397" s="4"/>
    </row>
    <row r="1398" spans="1:10" x14ac:dyDescent="0.25">
      <c r="A1398" s="39">
        <v>1397</v>
      </c>
      <c r="B1398" s="3" t="s">
        <v>153</v>
      </c>
      <c r="C1398" s="75" t="s">
        <v>212</v>
      </c>
      <c r="D1398" s="75" t="s">
        <v>311</v>
      </c>
      <c r="E1398" s="75" t="str">
        <f t="shared" si="24"/>
        <v>০</v>
      </c>
      <c r="F1398" s="22" t="str">
        <f>"8119457817340"</f>
        <v>8119457817340</v>
      </c>
      <c r="G1398" s="75" t="str">
        <f>"১১৩"</f>
        <v>১১৩</v>
      </c>
      <c r="H1398" s="75" t="s">
        <v>328</v>
      </c>
      <c r="I1398" s="75" t="s">
        <v>328</v>
      </c>
      <c r="J1398" s="4"/>
    </row>
    <row r="1399" spans="1:10" x14ac:dyDescent="0.25">
      <c r="A1399" s="39">
        <v>1398</v>
      </c>
      <c r="B1399" s="3" t="s">
        <v>154</v>
      </c>
      <c r="C1399" s="75" t="s">
        <v>206</v>
      </c>
      <c r="D1399" s="75" t="s">
        <v>312</v>
      </c>
      <c r="E1399" s="75" t="str">
        <f t="shared" si="24"/>
        <v>০</v>
      </c>
      <c r="F1399" s="22" t="str">
        <f>"811945781"</f>
        <v>811945781</v>
      </c>
      <c r="G1399" s="75" t="str">
        <f>"১১২"</f>
        <v>১১২</v>
      </c>
      <c r="H1399" s="75" t="s">
        <v>329</v>
      </c>
      <c r="I1399" s="75" t="s">
        <v>329</v>
      </c>
      <c r="J1399" s="4"/>
    </row>
    <row r="1400" spans="1:10" x14ac:dyDescent="0.25">
      <c r="A1400" s="39">
        <v>1399</v>
      </c>
      <c r="B1400" s="3" t="s">
        <v>155</v>
      </c>
      <c r="C1400" s="75" t="s">
        <v>204</v>
      </c>
      <c r="D1400" s="75" t="s">
        <v>303</v>
      </c>
      <c r="E1400" s="75" t="str">
        <f t="shared" si="24"/>
        <v>০</v>
      </c>
      <c r="F1400" s="22" t="str">
        <f>"8119457817170"</f>
        <v>8119457817170</v>
      </c>
      <c r="G1400" s="75" t="str">
        <f>"১১১"</f>
        <v>১১১</v>
      </c>
      <c r="H1400" s="75" t="s">
        <v>330</v>
      </c>
      <c r="I1400" s="75" t="s">
        <v>330</v>
      </c>
      <c r="J1400" s="4"/>
    </row>
    <row r="1401" spans="1:10" x14ac:dyDescent="0.25">
      <c r="A1401" s="39">
        <v>1400</v>
      </c>
      <c r="B1401" s="3" t="s">
        <v>156</v>
      </c>
      <c r="C1401" s="75" t="s">
        <v>284</v>
      </c>
      <c r="D1401" s="75" t="s">
        <v>303</v>
      </c>
      <c r="E1401" s="75" t="str">
        <f t="shared" si="24"/>
        <v>০</v>
      </c>
      <c r="F1401" s="22" t="str">
        <f>"8119457817070"</f>
        <v>8119457817070</v>
      </c>
      <c r="G1401" s="75" t="str">
        <f>"১১০"</f>
        <v>১১০</v>
      </c>
      <c r="H1401" s="75" t="s">
        <v>319</v>
      </c>
      <c r="I1401" s="75" t="s">
        <v>319</v>
      </c>
      <c r="J1401" s="4"/>
    </row>
    <row r="1402" spans="1:10" x14ac:dyDescent="0.25">
      <c r="A1402" s="39">
        <v>1401</v>
      </c>
      <c r="B1402" s="3" t="s">
        <v>157</v>
      </c>
      <c r="C1402" s="75" t="s">
        <v>285</v>
      </c>
      <c r="D1402" s="75" t="s">
        <v>303</v>
      </c>
      <c r="E1402" s="75" t="str">
        <f t="shared" si="24"/>
        <v>০</v>
      </c>
      <c r="F1402" s="22" t="str">
        <f>"8119457816883"</f>
        <v>8119457816883</v>
      </c>
      <c r="G1402" s="75" t="str">
        <f>"১০৯"</f>
        <v>১০৯</v>
      </c>
      <c r="H1402" s="75" t="s">
        <v>317</v>
      </c>
      <c r="I1402" s="75" t="s">
        <v>317</v>
      </c>
      <c r="J1402" s="4"/>
    </row>
    <row r="1403" spans="1:10" x14ac:dyDescent="0.25">
      <c r="A1403" s="39">
        <v>1402</v>
      </c>
      <c r="B1403" s="3" t="s">
        <v>158</v>
      </c>
      <c r="C1403" s="75" t="s">
        <v>284</v>
      </c>
      <c r="D1403" s="75" t="s">
        <v>312</v>
      </c>
      <c r="E1403" s="75" t="str">
        <f t="shared" si="24"/>
        <v>০</v>
      </c>
      <c r="F1403" s="22" t="str">
        <f>"8119457817515"</f>
        <v>8119457817515</v>
      </c>
      <c r="G1403" s="75" t="str">
        <f>"১০৮"</f>
        <v>১০৮</v>
      </c>
      <c r="H1403" s="75" t="s">
        <v>323</v>
      </c>
      <c r="I1403" s="75" t="s">
        <v>323</v>
      </c>
      <c r="J1403" s="4"/>
    </row>
    <row r="1404" spans="1:10" x14ac:dyDescent="0.25">
      <c r="A1404" s="39">
        <v>1403</v>
      </c>
      <c r="B1404" s="3" t="s">
        <v>159</v>
      </c>
      <c r="C1404" s="75" t="s">
        <v>286</v>
      </c>
      <c r="D1404" s="75" t="s">
        <v>312</v>
      </c>
      <c r="E1404" s="75" t="str">
        <f t="shared" si="24"/>
        <v>০</v>
      </c>
      <c r="F1404" s="22" t="str">
        <f>"8119457817528"</f>
        <v>8119457817528</v>
      </c>
      <c r="G1404" s="75" t="str">
        <f>"১০৭"</f>
        <v>১০৭</v>
      </c>
      <c r="H1404" s="75" t="s">
        <v>326</v>
      </c>
      <c r="I1404" s="75" t="s">
        <v>326</v>
      </c>
      <c r="J1404" s="4"/>
    </row>
    <row r="1405" spans="1:10" x14ac:dyDescent="0.25">
      <c r="A1405" s="39">
        <v>1404</v>
      </c>
      <c r="B1405" s="3" t="s">
        <v>45</v>
      </c>
      <c r="C1405" s="75" t="s">
        <v>287</v>
      </c>
      <c r="D1405" s="75" t="s">
        <v>312</v>
      </c>
      <c r="E1405" s="75" t="str">
        <f t="shared" si="24"/>
        <v>০</v>
      </c>
      <c r="F1405" s="22" t="str">
        <f>"8119457817503"</f>
        <v>8119457817503</v>
      </c>
      <c r="G1405" s="75" t="str">
        <f>"১০৬"</f>
        <v>১০৬</v>
      </c>
      <c r="H1405" s="75" t="s">
        <v>331</v>
      </c>
      <c r="I1405" s="75" t="s">
        <v>331</v>
      </c>
      <c r="J1405" s="4"/>
    </row>
    <row r="1406" spans="1:10" x14ac:dyDescent="0.25">
      <c r="A1406" s="39">
        <v>1405</v>
      </c>
      <c r="B1406" s="3" t="s">
        <v>160</v>
      </c>
      <c r="C1406" s="75" t="s">
        <v>159</v>
      </c>
      <c r="D1406" s="75" t="s">
        <v>312</v>
      </c>
      <c r="E1406" s="75" t="str">
        <f t="shared" si="24"/>
        <v>০</v>
      </c>
      <c r="F1406" s="22" t="str">
        <f>"8119457817530"</f>
        <v>8119457817530</v>
      </c>
      <c r="G1406" s="75" t="str">
        <f>"১০৫"</f>
        <v>১০৫</v>
      </c>
      <c r="H1406" s="75" t="s">
        <v>329</v>
      </c>
      <c r="I1406" s="75" t="s">
        <v>329</v>
      </c>
      <c r="J1406" s="4"/>
    </row>
    <row r="1407" spans="1:10" x14ac:dyDescent="0.25">
      <c r="A1407" s="39">
        <v>1406</v>
      </c>
      <c r="B1407" s="3" t="s">
        <v>161</v>
      </c>
      <c r="C1407" s="75" t="s">
        <v>146</v>
      </c>
      <c r="D1407" s="75" t="s">
        <v>312</v>
      </c>
      <c r="E1407" s="75" t="str">
        <f t="shared" si="24"/>
        <v>০</v>
      </c>
      <c r="F1407" s="22" t="str">
        <f>"8119457817544"</f>
        <v>8119457817544</v>
      </c>
      <c r="G1407" s="75" t="str">
        <f>"১০৪"</f>
        <v>১০৪</v>
      </c>
      <c r="H1407" s="75" t="s">
        <v>332</v>
      </c>
      <c r="I1407" s="75" t="s">
        <v>332</v>
      </c>
      <c r="J1407" s="4"/>
    </row>
    <row r="1408" spans="1:10" x14ac:dyDescent="0.25">
      <c r="A1408" s="39">
        <v>1407</v>
      </c>
      <c r="B1408" s="3" t="s">
        <v>162</v>
      </c>
      <c r="C1408" s="75" t="s">
        <v>147</v>
      </c>
      <c r="D1408" s="75" t="s">
        <v>312</v>
      </c>
      <c r="E1408" s="75" t="str">
        <f t="shared" si="24"/>
        <v>০</v>
      </c>
      <c r="F1408" s="22" t="str">
        <f>"8119457817587"</f>
        <v>8119457817587</v>
      </c>
      <c r="G1408" s="75" t="str">
        <f>"১০৩"</f>
        <v>১০৩</v>
      </c>
      <c r="H1408" s="75" t="s">
        <v>316</v>
      </c>
      <c r="I1408" s="75" t="s">
        <v>316</v>
      </c>
      <c r="J1408" s="4"/>
    </row>
    <row r="1409" spans="1:10" x14ac:dyDescent="0.25">
      <c r="A1409" s="39">
        <v>1408</v>
      </c>
      <c r="B1409" s="3" t="s">
        <v>100</v>
      </c>
      <c r="C1409" s="75" t="s">
        <v>288</v>
      </c>
      <c r="D1409" s="75" t="s">
        <v>312</v>
      </c>
      <c r="E1409" s="75" t="str">
        <f t="shared" si="24"/>
        <v>০</v>
      </c>
      <c r="F1409" s="22" t="str">
        <f>"8119457817530"</f>
        <v>8119457817530</v>
      </c>
      <c r="G1409" s="75" t="str">
        <f>"১০২"</f>
        <v>১০২</v>
      </c>
      <c r="H1409" s="75" t="s">
        <v>330</v>
      </c>
      <c r="I1409" s="75" t="s">
        <v>330</v>
      </c>
      <c r="J1409" s="4"/>
    </row>
    <row r="1410" spans="1:10" x14ac:dyDescent="0.25">
      <c r="A1410" s="39">
        <v>1409</v>
      </c>
      <c r="B1410" s="3" t="s">
        <v>163</v>
      </c>
      <c r="C1410" s="75" t="s">
        <v>288</v>
      </c>
      <c r="D1410" s="75" t="s">
        <v>312</v>
      </c>
      <c r="E1410" s="75" t="str">
        <f t="shared" si="24"/>
        <v>০</v>
      </c>
      <c r="F1410" s="22" t="str">
        <f>"8119457817730"</f>
        <v>8119457817730</v>
      </c>
      <c r="G1410" s="75" t="str">
        <f>"১০১"</f>
        <v>১০১</v>
      </c>
      <c r="H1410" s="75" t="s">
        <v>333</v>
      </c>
      <c r="I1410" s="75" t="s">
        <v>333</v>
      </c>
      <c r="J1410" s="4"/>
    </row>
    <row r="1411" spans="1:10" x14ac:dyDescent="0.25">
      <c r="A1411" s="39">
        <v>1410</v>
      </c>
      <c r="B1411" s="3" t="s">
        <v>164</v>
      </c>
      <c r="C1411" s="75" t="s">
        <v>206</v>
      </c>
      <c r="D1411" s="75" t="s">
        <v>312</v>
      </c>
      <c r="E1411" s="75" t="str">
        <f t="shared" si="24"/>
        <v>০</v>
      </c>
      <c r="F1411" s="22" t="str">
        <f>"8119457817510"</f>
        <v>8119457817510</v>
      </c>
      <c r="G1411" s="75" t="str">
        <f>"১০০"</f>
        <v>১০০</v>
      </c>
      <c r="H1411" s="75" t="s">
        <v>319</v>
      </c>
      <c r="I1411" s="75" t="s">
        <v>319</v>
      </c>
      <c r="J1411" s="4"/>
    </row>
    <row r="1412" spans="1:10" x14ac:dyDescent="0.25">
      <c r="A1412" s="39">
        <v>1411</v>
      </c>
      <c r="B1412" s="3" t="s">
        <v>2004</v>
      </c>
      <c r="C1412" s="75" t="s">
        <v>179</v>
      </c>
      <c r="D1412" s="75" t="s">
        <v>299</v>
      </c>
      <c r="E1412" s="75" t="str">
        <f t="shared" si="24"/>
        <v>০</v>
      </c>
      <c r="F1412" s="22" t="str">
        <f>"8119457817716"</f>
        <v>8119457817716</v>
      </c>
      <c r="G1412" s="75" t="str">
        <f>"৯৯"</f>
        <v>৯৯</v>
      </c>
      <c r="H1412" s="75" t="s">
        <v>322</v>
      </c>
      <c r="I1412" s="75" t="s">
        <v>322</v>
      </c>
      <c r="J1412" s="4"/>
    </row>
    <row r="1413" spans="1:10" x14ac:dyDescent="0.25">
      <c r="A1413" s="39">
        <v>1412</v>
      </c>
      <c r="B1413" s="3" t="s">
        <v>73</v>
      </c>
      <c r="C1413" s="75" t="s">
        <v>289</v>
      </c>
      <c r="D1413" s="75" t="s">
        <v>312</v>
      </c>
      <c r="E1413" s="75" t="str">
        <f>"০১৭৭৪৫৪৬৯২৬"</f>
        <v>০১৭৭৪৫৪৬৯২৬</v>
      </c>
      <c r="F1413" s="22" t="str">
        <f>"8119457817538"</f>
        <v>8119457817538</v>
      </c>
      <c r="G1413" s="75" t="str">
        <f>"৯৮"</f>
        <v>৯৮</v>
      </c>
      <c r="H1413" s="75" t="s">
        <v>319</v>
      </c>
      <c r="I1413" s="75" t="s">
        <v>319</v>
      </c>
      <c r="J1413" s="4"/>
    </row>
    <row r="1414" spans="1:10" x14ac:dyDescent="0.25">
      <c r="A1414" s="39">
        <v>1413</v>
      </c>
      <c r="B1414" s="3" t="s">
        <v>165</v>
      </c>
      <c r="C1414" s="75" t="s">
        <v>286</v>
      </c>
      <c r="D1414" s="75" t="s">
        <v>312</v>
      </c>
      <c r="E1414" s="75" t="str">
        <f t="shared" ref="E1414:E1430" si="25">"০"</f>
        <v>০</v>
      </c>
      <c r="F1414" s="22" t="str">
        <f>"8119457817524"</f>
        <v>8119457817524</v>
      </c>
      <c r="G1414" s="75" t="str">
        <f>"৯৭"</f>
        <v>৯৭</v>
      </c>
      <c r="H1414" s="75" t="s">
        <v>313</v>
      </c>
      <c r="I1414" s="75" t="s">
        <v>313</v>
      </c>
      <c r="J1414" s="4"/>
    </row>
    <row r="1415" spans="1:10" x14ac:dyDescent="0.25">
      <c r="A1415" s="39">
        <v>1414</v>
      </c>
      <c r="B1415" s="3" t="s">
        <v>166</v>
      </c>
      <c r="C1415" s="75" t="s">
        <v>206</v>
      </c>
      <c r="D1415" s="75" t="s">
        <v>312</v>
      </c>
      <c r="E1415" s="75" t="str">
        <f t="shared" si="25"/>
        <v>০</v>
      </c>
      <c r="F1415" s="22" t="str">
        <f>"8119457817541"</f>
        <v>8119457817541</v>
      </c>
      <c r="G1415" s="75" t="str">
        <f>"৯৬"</f>
        <v>৯৬</v>
      </c>
      <c r="H1415" s="75" t="s">
        <v>314</v>
      </c>
      <c r="I1415" s="75" t="s">
        <v>314</v>
      </c>
      <c r="J1415" s="4"/>
    </row>
    <row r="1416" spans="1:10" x14ac:dyDescent="0.25">
      <c r="A1416" s="39">
        <v>1415</v>
      </c>
      <c r="B1416" s="3" t="s">
        <v>2839</v>
      </c>
      <c r="C1416" s="75" t="s">
        <v>147</v>
      </c>
      <c r="D1416" s="75" t="s">
        <v>312</v>
      </c>
      <c r="E1416" s="75" t="str">
        <f t="shared" si="25"/>
        <v>০</v>
      </c>
      <c r="F1416" s="22" t="str">
        <f>"8119457817595"</f>
        <v>8119457817595</v>
      </c>
      <c r="G1416" s="75" t="str">
        <f>"৯৫"</f>
        <v>৯৫</v>
      </c>
      <c r="H1416" s="75" t="s">
        <v>315</v>
      </c>
      <c r="I1416" s="75" t="s">
        <v>315</v>
      </c>
      <c r="J1416" s="4"/>
    </row>
    <row r="1417" spans="1:10" x14ac:dyDescent="0.25">
      <c r="A1417" s="39">
        <v>1416</v>
      </c>
      <c r="B1417" s="3" t="s">
        <v>167</v>
      </c>
      <c r="C1417" s="75" t="s">
        <v>207</v>
      </c>
      <c r="D1417" s="75" t="s">
        <v>312</v>
      </c>
      <c r="E1417" s="75" t="str">
        <f t="shared" si="25"/>
        <v>০</v>
      </c>
      <c r="F1417" s="22" t="str">
        <f>"8119457817567"</f>
        <v>8119457817567</v>
      </c>
      <c r="G1417" s="75" t="str">
        <f>"৯৪"</f>
        <v>৯৪</v>
      </c>
      <c r="H1417" s="75" t="s">
        <v>316</v>
      </c>
      <c r="I1417" s="75" t="s">
        <v>316</v>
      </c>
      <c r="J1417" s="4"/>
    </row>
    <row r="1418" spans="1:10" x14ac:dyDescent="0.25">
      <c r="A1418" s="39">
        <v>1417</v>
      </c>
      <c r="B1418" s="3" t="s">
        <v>168</v>
      </c>
      <c r="C1418" s="75" t="s">
        <v>284</v>
      </c>
      <c r="D1418" s="75" t="s">
        <v>312</v>
      </c>
      <c r="E1418" s="75" t="str">
        <f t="shared" si="25"/>
        <v>০</v>
      </c>
      <c r="F1418" s="22" t="str">
        <f>"8119457810117"</f>
        <v>8119457810117</v>
      </c>
      <c r="G1418" s="75" t="str">
        <f>"৯৩"</f>
        <v>৯৩</v>
      </c>
      <c r="H1418" s="75" t="s">
        <v>317</v>
      </c>
      <c r="I1418" s="75" t="s">
        <v>317</v>
      </c>
      <c r="J1418" s="4"/>
    </row>
    <row r="1419" spans="1:10" x14ac:dyDescent="0.25">
      <c r="A1419" s="39">
        <v>1418</v>
      </c>
      <c r="B1419" s="3" t="s">
        <v>144</v>
      </c>
      <c r="C1419" s="75" t="s">
        <v>290</v>
      </c>
      <c r="D1419" s="75" t="s">
        <v>312</v>
      </c>
      <c r="E1419" s="75" t="str">
        <f t="shared" si="25"/>
        <v>০</v>
      </c>
      <c r="F1419" s="22" t="str">
        <f>"8119457817522"</f>
        <v>8119457817522</v>
      </c>
      <c r="G1419" s="75" t="str">
        <f>"৯২"</f>
        <v>৯২</v>
      </c>
      <c r="H1419" s="75" t="s">
        <v>318</v>
      </c>
      <c r="I1419" s="75" t="s">
        <v>318</v>
      </c>
      <c r="J1419" s="4"/>
    </row>
    <row r="1420" spans="1:10" x14ac:dyDescent="0.25">
      <c r="A1420" s="39">
        <v>1419</v>
      </c>
      <c r="B1420" s="3" t="s">
        <v>131</v>
      </c>
      <c r="C1420" s="75" t="s">
        <v>215</v>
      </c>
      <c r="D1420" s="75" t="s">
        <v>312</v>
      </c>
      <c r="E1420" s="75" t="str">
        <f t="shared" si="25"/>
        <v>০</v>
      </c>
      <c r="F1420" s="22" t="str">
        <f>"8119457817554"</f>
        <v>8119457817554</v>
      </c>
      <c r="G1420" s="75" t="str">
        <f>"৯১"</f>
        <v>৯১</v>
      </c>
      <c r="H1420" s="75" t="s">
        <v>319</v>
      </c>
      <c r="I1420" s="75" t="s">
        <v>319</v>
      </c>
      <c r="J1420" s="4"/>
    </row>
    <row r="1421" spans="1:10" x14ac:dyDescent="0.25">
      <c r="A1421" s="39">
        <v>1420</v>
      </c>
      <c r="B1421" s="3" t="s">
        <v>169</v>
      </c>
      <c r="C1421" s="75" t="s">
        <v>291</v>
      </c>
      <c r="D1421" s="75" t="s">
        <v>312</v>
      </c>
      <c r="E1421" s="75" t="str">
        <f t="shared" si="25"/>
        <v>০</v>
      </c>
      <c r="F1421" s="22" t="str">
        <f>"8119457817502"</f>
        <v>8119457817502</v>
      </c>
      <c r="G1421" s="75" t="str">
        <f>"৯০"</f>
        <v>৯০</v>
      </c>
      <c r="H1421" s="75" t="s">
        <v>320</v>
      </c>
      <c r="I1421" s="75" t="s">
        <v>320</v>
      </c>
      <c r="J1421" s="4"/>
    </row>
    <row r="1422" spans="1:10" x14ac:dyDescent="0.25">
      <c r="A1422" s="39">
        <v>1421</v>
      </c>
      <c r="B1422" s="3" t="s">
        <v>170</v>
      </c>
      <c r="C1422" s="75" t="s">
        <v>292</v>
      </c>
      <c r="D1422" s="75" t="s">
        <v>312</v>
      </c>
      <c r="E1422" s="75" t="str">
        <f t="shared" si="25"/>
        <v>০</v>
      </c>
      <c r="F1422" s="22" t="str">
        <f>"8119457817560"</f>
        <v>8119457817560</v>
      </c>
      <c r="G1422" s="75" t="str">
        <f>"৮৯"</f>
        <v>৮৯</v>
      </c>
      <c r="H1422" s="75" t="s">
        <v>315</v>
      </c>
      <c r="I1422" s="75" t="s">
        <v>315</v>
      </c>
      <c r="J1422" s="4"/>
    </row>
    <row r="1423" spans="1:10" x14ac:dyDescent="0.25">
      <c r="A1423" s="39">
        <v>1422</v>
      </c>
      <c r="B1423" s="3" t="s">
        <v>86</v>
      </c>
      <c r="C1423" s="75" t="s">
        <v>215</v>
      </c>
      <c r="D1423" s="75" t="s">
        <v>312</v>
      </c>
      <c r="E1423" s="75" t="str">
        <f t="shared" si="25"/>
        <v>০</v>
      </c>
      <c r="F1423" s="22" t="str">
        <f>"8119457817556"</f>
        <v>8119457817556</v>
      </c>
      <c r="G1423" s="75" t="str">
        <f>"৮৮"</f>
        <v>৮৮</v>
      </c>
      <c r="H1423" s="75" t="s">
        <v>313</v>
      </c>
      <c r="I1423" s="75" t="s">
        <v>313</v>
      </c>
      <c r="J1423" s="4"/>
    </row>
    <row r="1424" spans="1:10" x14ac:dyDescent="0.25">
      <c r="A1424" s="39">
        <v>1423</v>
      </c>
      <c r="B1424" s="3" t="s">
        <v>171</v>
      </c>
      <c r="C1424" s="75" t="s">
        <v>280</v>
      </c>
      <c r="D1424" s="75" t="s">
        <v>312</v>
      </c>
      <c r="E1424" s="75" t="str">
        <f t="shared" si="25"/>
        <v>০</v>
      </c>
      <c r="F1424" s="22" t="str">
        <f>"8119457817583"</f>
        <v>8119457817583</v>
      </c>
      <c r="G1424" s="75" t="str">
        <f>"৮৭"</f>
        <v>৮৭</v>
      </c>
      <c r="H1424" s="75" t="s">
        <v>314</v>
      </c>
      <c r="I1424" s="75" t="s">
        <v>314</v>
      </c>
      <c r="J1424" s="4"/>
    </row>
    <row r="1425" spans="1:10" x14ac:dyDescent="0.25">
      <c r="A1425" s="39">
        <v>1424</v>
      </c>
      <c r="B1425" s="3" t="s">
        <v>172</v>
      </c>
      <c r="C1425" s="75" t="s">
        <v>207</v>
      </c>
      <c r="D1425" s="75" t="s">
        <v>312</v>
      </c>
      <c r="E1425" s="75" t="str">
        <f t="shared" si="25"/>
        <v>০</v>
      </c>
      <c r="F1425" s="22" t="str">
        <f>"8119457817450"</f>
        <v>8119457817450</v>
      </c>
      <c r="G1425" s="75" t="str">
        <f>"৮৬"</f>
        <v>৮৬</v>
      </c>
      <c r="H1425" s="75" t="s">
        <v>321</v>
      </c>
      <c r="I1425" s="75" t="s">
        <v>321</v>
      </c>
      <c r="J1425" s="4"/>
    </row>
    <row r="1426" spans="1:10" x14ac:dyDescent="0.25">
      <c r="A1426" s="39">
        <v>1425</v>
      </c>
      <c r="B1426" s="3" t="s">
        <v>35</v>
      </c>
      <c r="C1426" s="75" t="s">
        <v>286</v>
      </c>
      <c r="D1426" s="75" t="s">
        <v>312</v>
      </c>
      <c r="E1426" s="75" t="str">
        <f t="shared" si="25"/>
        <v>০</v>
      </c>
      <c r="F1426" s="22" t="str">
        <f>"8119457817526"</f>
        <v>8119457817526</v>
      </c>
      <c r="G1426" s="75" t="str">
        <f>"৮৫"</f>
        <v>৮৫</v>
      </c>
      <c r="H1426" s="75" t="s">
        <v>322</v>
      </c>
      <c r="I1426" s="75" t="s">
        <v>322</v>
      </c>
      <c r="J1426" s="4"/>
    </row>
    <row r="1427" spans="1:10" x14ac:dyDescent="0.25">
      <c r="A1427" s="39">
        <v>1426</v>
      </c>
      <c r="B1427" s="3" t="s">
        <v>173</v>
      </c>
      <c r="C1427" s="75" t="s">
        <v>159</v>
      </c>
      <c r="D1427" s="75" t="s">
        <v>312</v>
      </c>
      <c r="E1427" s="75" t="str">
        <f t="shared" si="25"/>
        <v>০</v>
      </c>
      <c r="F1427" s="22" t="str">
        <f>"8119457817531"</f>
        <v>8119457817531</v>
      </c>
      <c r="G1427" s="75" t="str">
        <f>"৮৪"</f>
        <v>৮৪</v>
      </c>
      <c r="H1427" s="75" t="s">
        <v>314</v>
      </c>
      <c r="I1427" s="75" t="s">
        <v>314</v>
      </c>
      <c r="J1427" s="4"/>
    </row>
    <row r="1428" spans="1:10" x14ac:dyDescent="0.25">
      <c r="A1428" s="39">
        <v>1427</v>
      </c>
      <c r="B1428" s="3" t="s">
        <v>2161</v>
      </c>
      <c r="C1428" s="75" t="s">
        <v>1637</v>
      </c>
      <c r="D1428" s="75" t="s">
        <v>299</v>
      </c>
      <c r="E1428" s="75" t="str">
        <f t="shared" si="25"/>
        <v>০</v>
      </c>
      <c r="F1428" s="22" t="str">
        <f>"8119457817740"</f>
        <v>8119457817740</v>
      </c>
      <c r="G1428" s="75" t="str">
        <f>"৮৩"</f>
        <v>৮৩</v>
      </c>
      <c r="H1428" s="75" t="s">
        <v>323</v>
      </c>
      <c r="I1428" s="75" t="s">
        <v>323</v>
      </c>
      <c r="J1428" s="4"/>
    </row>
    <row r="1429" spans="1:10" x14ac:dyDescent="0.25">
      <c r="A1429" s="39">
        <v>1428</v>
      </c>
      <c r="B1429" s="3" t="s">
        <v>1679</v>
      </c>
      <c r="C1429" s="75" t="s">
        <v>2840</v>
      </c>
      <c r="D1429" s="75" t="s">
        <v>299</v>
      </c>
      <c r="E1429" s="75" t="str">
        <f t="shared" si="25"/>
        <v>০</v>
      </c>
      <c r="F1429" s="22" t="str">
        <f>"8119457817167"</f>
        <v>8119457817167</v>
      </c>
      <c r="G1429" s="75" t="str">
        <f>"৮২"</f>
        <v>৮২</v>
      </c>
      <c r="H1429" s="75" t="s">
        <v>324</v>
      </c>
      <c r="I1429" s="75" t="s">
        <v>324</v>
      </c>
      <c r="J1429" s="4"/>
    </row>
    <row r="1430" spans="1:10" x14ac:dyDescent="0.25">
      <c r="A1430" s="39">
        <v>1429</v>
      </c>
      <c r="B1430" s="3" t="s">
        <v>2000</v>
      </c>
      <c r="C1430" s="75" t="s">
        <v>2001</v>
      </c>
      <c r="D1430" s="75" t="s">
        <v>299</v>
      </c>
      <c r="E1430" s="75" t="str">
        <f t="shared" si="25"/>
        <v>০</v>
      </c>
      <c r="F1430" s="22" t="str">
        <f>"8119457817668"</f>
        <v>8119457817668</v>
      </c>
      <c r="G1430" s="75" t="str">
        <f>"৮১"</f>
        <v>৮১</v>
      </c>
      <c r="H1430" s="75" t="s">
        <v>325</v>
      </c>
      <c r="I1430" s="75" t="s">
        <v>325</v>
      </c>
      <c r="J1430" s="4"/>
    </row>
    <row r="1431" spans="1:10" x14ac:dyDescent="0.25">
      <c r="A1431" s="39">
        <v>1430</v>
      </c>
      <c r="B1431" s="3" t="s">
        <v>1888</v>
      </c>
      <c r="C1431" s="75" t="s">
        <v>2002</v>
      </c>
      <c r="D1431" s="75" t="s">
        <v>299</v>
      </c>
      <c r="E1431" s="75" t="str">
        <f>"০১৮২৭৫৯৮০৯২"</f>
        <v>০১৮২৭৫৯৮০৯২</v>
      </c>
      <c r="F1431" s="22" t="str">
        <f>"8119457817599"</f>
        <v>8119457817599</v>
      </c>
      <c r="G1431" s="75" t="str">
        <f>"৮০"</f>
        <v>৮০</v>
      </c>
      <c r="H1431" s="75" t="s">
        <v>319</v>
      </c>
      <c r="I1431" s="75" t="s">
        <v>319</v>
      </c>
      <c r="J1431" s="4"/>
    </row>
    <row r="1432" spans="1:10" x14ac:dyDescent="0.25">
      <c r="A1432" s="39">
        <v>1431</v>
      </c>
      <c r="B1432" s="3" t="s">
        <v>1679</v>
      </c>
      <c r="C1432" s="75" t="s">
        <v>2003</v>
      </c>
      <c r="D1432" s="75" t="s">
        <v>299</v>
      </c>
      <c r="E1432" s="75" t="str">
        <f>"০"</f>
        <v>০</v>
      </c>
      <c r="F1432" s="22" t="str">
        <f>"8119457814904"</f>
        <v>8119457814904</v>
      </c>
      <c r="G1432" s="75" t="str">
        <f>"৭৯"</f>
        <v>৭৯</v>
      </c>
      <c r="H1432" s="75" t="s">
        <v>326</v>
      </c>
      <c r="I1432" s="75" t="s">
        <v>326</v>
      </c>
      <c r="J1432" s="4"/>
    </row>
    <row r="1433" spans="1:10" x14ac:dyDescent="0.25">
      <c r="A1433" s="39">
        <v>1432</v>
      </c>
      <c r="B1433" s="3" t="s">
        <v>1739</v>
      </c>
      <c r="C1433" s="75" t="s">
        <v>1967</v>
      </c>
      <c r="D1433" s="75" t="s">
        <v>299</v>
      </c>
      <c r="E1433" s="75" t="str">
        <f>"০১৭১৭৫১৬৪৪৫"</f>
        <v>০১৭১৭৫১৬৪৪৫</v>
      </c>
      <c r="F1433" s="22" t="str">
        <f>"8119457817164"</f>
        <v>8119457817164</v>
      </c>
      <c r="G1433" s="75" t="str">
        <f>"৭৮"</f>
        <v>৭৮</v>
      </c>
      <c r="H1433" s="75" t="s">
        <v>327</v>
      </c>
      <c r="I1433" s="75" t="s">
        <v>327</v>
      </c>
      <c r="J1433" s="4"/>
    </row>
    <row r="1434" spans="1:10" x14ac:dyDescent="0.25">
      <c r="A1434" s="39">
        <v>1433</v>
      </c>
      <c r="B1434" s="3" t="s">
        <v>1628</v>
      </c>
      <c r="C1434" s="75" t="s">
        <v>1696</v>
      </c>
      <c r="D1434" s="75" t="s">
        <v>299</v>
      </c>
      <c r="E1434" s="75" t="str">
        <f>"০১৭৬১৩২৬৭৩৮"</f>
        <v>০১৭৬১৩২৬৭৩৮</v>
      </c>
      <c r="F1434" s="22" t="str">
        <f>"8119457817630"</f>
        <v>8119457817630</v>
      </c>
      <c r="G1434" s="75" t="str">
        <f>"৭৭"</f>
        <v>৭৭</v>
      </c>
      <c r="H1434" s="75" t="s">
        <v>328</v>
      </c>
      <c r="I1434" s="75" t="s">
        <v>328</v>
      </c>
      <c r="J1434" s="4"/>
    </row>
    <row r="1435" spans="1:10" x14ac:dyDescent="0.25">
      <c r="A1435" s="39">
        <v>1434</v>
      </c>
      <c r="B1435" s="3" t="s">
        <v>1770</v>
      </c>
      <c r="C1435" s="75" t="s">
        <v>1888</v>
      </c>
      <c r="D1435" s="75" t="s">
        <v>299</v>
      </c>
      <c r="E1435" s="75" t="str">
        <f>"০১৭৭০৬৫২১৪৮"</f>
        <v>০১৭৭০৬৫২১৪৮</v>
      </c>
      <c r="F1435" s="22" t="str">
        <f>"8119457817606"</f>
        <v>8119457817606</v>
      </c>
      <c r="G1435" s="75" t="str">
        <f>"৭৬"</f>
        <v>৭৬</v>
      </c>
      <c r="H1435" s="75" t="s">
        <v>329</v>
      </c>
      <c r="I1435" s="75" t="s">
        <v>329</v>
      </c>
      <c r="J1435" s="4"/>
    </row>
    <row r="1436" spans="1:10" x14ac:dyDescent="0.25">
      <c r="A1436" s="39">
        <v>1435</v>
      </c>
      <c r="B1436" s="3" t="s">
        <v>2841</v>
      </c>
      <c r="C1436" s="75" t="s">
        <v>2842</v>
      </c>
      <c r="D1436" s="75" t="s">
        <v>299</v>
      </c>
      <c r="E1436" s="75" t="str">
        <f>"০১৭৫১৫২৩৩১৮"</f>
        <v>০১৭৫১৫২৩৩১৮</v>
      </c>
      <c r="F1436" s="22" t="str">
        <f>"8119457817651"</f>
        <v>8119457817651</v>
      </c>
      <c r="G1436" s="75" t="str">
        <f>"৭৫"</f>
        <v>৭৫</v>
      </c>
      <c r="H1436" s="75" t="s">
        <v>330</v>
      </c>
      <c r="I1436" s="75" t="s">
        <v>330</v>
      </c>
      <c r="J1436" s="4"/>
    </row>
    <row r="1437" spans="1:10" x14ac:dyDescent="0.25">
      <c r="A1437" s="39">
        <v>1436</v>
      </c>
      <c r="B1437" s="3" t="s">
        <v>2843</v>
      </c>
      <c r="C1437" s="75" t="s">
        <v>2844</v>
      </c>
      <c r="D1437" s="75" t="s">
        <v>299</v>
      </c>
      <c r="E1437" s="75" t="str">
        <f>"০"</f>
        <v>০</v>
      </c>
      <c r="F1437" s="22" t="str">
        <f>"8119457817597"</f>
        <v>8119457817597</v>
      </c>
      <c r="G1437" s="75" t="str">
        <f>"৭৪"</f>
        <v>৭৪</v>
      </c>
      <c r="H1437" s="75" t="s">
        <v>319</v>
      </c>
      <c r="I1437" s="75" t="s">
        <v>319</v>
      </c>
      <c r="J1437" s="4"/>
    </row>
    <row r="1438" spans="1:10" x14ac:dyDescent="0.25">
      <c r="A1438" s="39">
        <v>1437</v>
      </c>
      <c r="B1438" s="3" t="s">
        <v>2845</v>
      </c>
      <c r="C1438" s="75" t="s">
        <v>2846</v>
      </c>
      <c r="D1438" s="75" t="s">
        <v>299</v>
      </c>
      <c r="E1438" s="75" t="str">
        <f>"০১৭৪০২১৬১৪০"</f>
        <v>০১৭৪০২১৬১৪০</v>
      </c>
      <c r="F1438" s="22" t="str">
        <f>"8119457817631"</f>
        <v>8119457817631</v>
      </c>
      <c r="G1438" s="75" t="str">
        <f>"৭৩"</f>
        <v>৭৩</v>
      </c>
      <c r="H1438" s="75" t="s">
        <v>317</v>
      </c>
      <c r="I1438" s="75" t="s">
        <v>317</v>
      </c>
      <c r="J1438" s="4"/>
    </row>
    <row r="1439" spans="1:10" x14ac:dyDescent="0.25">
      <c r="A1439" s="39">
        <v>1438</v>
      </c>
      <c r="B1439" s="3" t="s">
        <v>1729</v>
      </c>
      <c r="C1439" s="75" t="s">
        <v>2237</v>
      </c>
      <c r="D1439" s="75" t="s">
        <v>299</v>
      </c>
      <c r="E1439" s="75" t="str">
        <f>"০"</f>
        <v>০</v>
      </c>
      <c r="F1439" s="22" t="str">
        <f>"8119457817743"</f>
        <v>8119457817743</v>
      </c>
      <c r="G1439" s="75" t="str">
        <f>"৭২"</f>
        <v>৭২</v>
      </c>
      <c r="H1439" s="75" t="s">
        <v>323</v>
      </c>
      <c r="I1439" s="75" t="s">
        <v>323</v>
      </c>
      <c r="J1439" s="4"/>
    </row>
    <row r="1440" spans="1:10" x14ac:dyDescent="0.25">
      <c r="A1440" s="39">
        <v>1439</v>
      </c>
      <c r="B1440" s="3" t="s">
        <v>1963</v>
      </c>
      <c r="C1440" s="75" t="s">
        <v>1964</v>
      </c>
      <c r="D1440" s="75" t="s">
        <v>299</v>
      </c>
      <c r="E1440" s="75" t="str">
        <f>"০১৭২৯৩৮৯৩২৭"</f>
        <v>০১৭২৯৩৮৯৩২৭</v>
      </c>
      <c r="F1440" s="22" t="str">
        <f>"8119457817488"</f>
        <v>8119457817488</v>
      </c>
      <c r="G1440" s="75" t="str">
        <f>"৭১"</f>
        <v>৭১</v>
      </c>
      <c r="H1440" s="75" t="s">
        <v>326</v>
      </c>
      <c r="I1440" s="75" t="s">
        <v>326</v>
      </c>
      <c r="J1440" s="4"/>
    </row>
    <row r="1441" spans="1:10" x14ac:dyDescent="0.25">
      <c r="A1441" s="39">
        <v>1440</v>
      </c>
      <c r="B1441" s="3" t="s">
        <v>1965</v>
      </c>
      <c r="C1441" s="75" t="s">
        <v>1966</v>
      </c>
      <c r="D1441" s="75" t="s">
        <v>299</v>
      </c>
      <c r="E1441" s="75" t="str">
        <f>"০১৭৪৩৯৭৫০৩৬"</f>
        <v>০১৭৪৩৯৭৫০৩৬</v>
      </c>
      <c r="F1441" s="22" t="str">
        <f>"8119457817639"</f>
        <v>8119457817639</v>
      </c>
      <c r="G1441" s="75" t="str">
        <f>"৭০"</f>
        <v>৭০</v>
      </c>
      <c r="H1441" s="75" t="s">
        <v>331</v>
      </c>
      <c r="I1441" s="75" t="s">
        <v>331</v>
      </c>
      <c r="J1441" s="4"/>
    </row>
    <row r="1442" spans="1:10" x14ac:dyDescent="0.25">
      <c r="A1442" s="39">
        <v>1441</v>
      </c>
      <c r="B1442" s="3" t="s">
        <v>2847</v>
      </c>
      <c r="C1442" s="75" t="s">
        <v>2848</v>
      </c>
      <c r="D1442" s="75" t="s">
        <v>299</v>
      </c>
      <c r="E1442" s="75" t="str">
        <f>"০"</f>
        <v>০</v>
      </c>
      <c r="F1442" s="22" t="str">
        <f>"8119457817741"</f>
        <v>8119457817741</v>
      </c>
      <c r="G1442" s="75" t="str">
        <f>"৬৯"</f>
        <v>৬৯</v>
      </c>
      <c r="H1442" s="75" t="s">
        <v>329</v>
      </c>
      <c r="I1442" s="75" t="s">
        <v>329</v>
      </c>
      <c r="J1442" s="4"/>
    </row>
    <row r="1443" spans="1:10" x14ac:dyDescent="0.25">
      <c r="A1443" s="39">
        <v>1442</v>
      </c>
      <c r="B1443" s="3" t="s">
        <v>1921</v>
      </c>
      <c r="C1443" s="75" t="s">
        <v>1922</v>
      </c>
      <c r="D1443" s="75" t="s">
        <v>299</v>
      </c>
      <c r="E1443" s="75" t="str">
        <f>"০১৭৬৫৯১৭৫০০"</f>
        <v>০১৭৬৫৯১৭৫০০</v>
      </c>
      <c r="F1443" s="22" t="str">
        <f>"8119457817781"</f>
        <v>8119457817781</v>
      </c>
      <c r="G1443" s="75" t="str">
        <f>"৬৮"</f>
        <v>৬৮</v>
      </c>
      <c r="H1443" s="75" t="s">
        <v>332</v>
      </c>
      <c r="I1443" s="75" t="s">
        <v>332</v>
      </c>
      <c r="J1443" s="4"/>
    </row>
    <row r="1444" spans="1:10" x14ac:dyDescent="0.25">
      <c r="A1444" s="39">
        <v>1443</v>
      </c>
      <c r="B1444" s="3" t="s">
        <v>1923</v>
      </c>
      <c r="C1444" s="75" t="s">
        <v>1924</v>
      </c>
      <c r="D1444" s="75" t="s">
        <v>299</v>
      </c>
      <c r="E1444" s="75" t="str">
        <f>"০১৭২৫৪৮৩৯৩১"</f>
        <v>০১৭২৫৪৮৩৯৩১</v>
      </c>
      <c r="F1444" s="22" t="str">
        <f>"8119457813884"</f>
        <v>8119457813884</v>
      </c>
      <c r="G1444" s="75" t="str">
        <f>"৬৭"</f>
        <v>৬৭</v>
      </c>
      <c r="H1444" s="75" t="s">
        <v>316</v>
      </c>
      <c r="I1444" s="75" t="s">
        <v>316</v>
      </c>
      <c r="J1444" s="4"/>
    </row>
    <row r="1445" spans="1:10" x14ac:dyDescent="0.25">
      <c r="A1445" s="39">
        <v>1444</v>
      </c>
      <c r="B1445" s="3" t="s">
        <v>1579</v>
      </c>
      <c r="C1445" s="75" t="s">
        <v>1925</v>
      </c>
      <c r="D1445" s="75" t="s">
        <v>299</v>
      </c>
      <c r="E1445" s="75" t="str">
        <f>"০১৭২৬৩১৪৫৩৫"</f>
        <v>০১৭২৬৩১৪৫৩৫</v>
      </c>
      <c r="F1445" s="22" t="str">
        <f>"8119457817636"</f>
        <v>8119457817636</v>
      </c>
      <c r="G1445" s="75" t="str">
        <f>"৬৬"</f>
        <v>৬৬</v>
      </c>
      <c r="H1445" s="75" t="s">
        <v>330</v>
      </c>
      <c r="I1445" s="75" t="s">
        <v>330</v>
      </c>
      <c r="J1445" s="4"/>
    </row>
    <row r="1446" spans="1:10" x14ac:dyDescent="0.25">
      <c r="A1446" s="39">
        <v>1445</v>
      </c>
      <c r="B1446" s="3" t="s">
        <v>1897</v>
      </c>
      <c r="C1446" s="75" t="s">
        <v>1898</v>
      </c>
      <c r="D1446" s="75" t="s">
        <v>299</v>
      </c>
      <c r="E1446" s="75" t="str">
        <f>"০১৭৩০১৯০৬১২"</f>
        <v>০১৭৩০১৯০৬১২</v>
      </c>
      <c r="F1446" s="22" t="str">
        <f>"8119457817733"</f>
        <v>8119457817733</v>
      </c>
      <c r="G1446" s="75" t="str">
        <f>"৬৫"</f>
        <v>৬৫</v>
      </c>
      <c r="H1446" s="75" t="s">
        <v>333</v>
      </c>
      <c r="I1446" s="75" t="s">
        <v>333</v>
      </c>
      <c r="J1446" s="4"/>
    </row>
    <row r="1447" spans="1:10" x14ac:dyDescent="0.25">
      <c r="A1447" s="39">
        <v>1446</v>
      </c>
      <c r="B1447" s="3" t="s">
        <v>1899</v>
      </c>
      <c r="C1447" s="75" t="s">
        <v>1900</v>
      </c>
      <c r="D1447" s="75" t="s">
        <v>299</v>
      </c>
      <c r="E1447" s="75" t="str">
        <f>"০"</f>
        <v>০</v>
      </c>
      <c r="F1447" s="22" t="str">
        <f>"8119457813612"</f>
        <v>8119457813612</v>
      </c>
      <c r="G1447" s="75" t="str">
        <f>"৬৪"</f>
        <v>৬৪</v>
      </c>
      <c r="H1447" s="75" t="s">
        <v>319</v>
      </c>
      <c r="I1447" s="75" t="s">
        <v>319</v>
      </c>
      <c r="J1447" s="4"/>
    </row>
    <row r="1448" spans="1:10" x14ac:dyDescent="0.25">
      <c r="A1448" s="39">
        <v>1447</v>
      </c>
      <c r="B1448" s="3" t="s">
        <v>1901</v>
      </c>
      <c r="C1448" s="75" t="s">
        <v>1902</v>
      </c>
      <c r="D1448" s="75" t="s">
        <v>299</v>
      </c>
      <c r="E1448" s="75" t="str">
        <f>"০১৭৩৬৩৬২৫৫৪"</f>
        <v>০১৭৩৬৩৬২৫৫৪</v>
      </c>
      <c r="F1448" s="22" t="str">
        <f>"8119457814885"</f>
        <v>8119457814885</v>
      </c>
      <c r="G1448" s="75" t="str">
        <f>"৬৩"</f>
        <v>৬৩</v>
      </c>
      <c r="H1448" s="75" t="s">
        <v>322</v>
      </c>
      <c r="I1448" s="75" t="s">
        <v>322</v>
      </c>
      <c r="J1448" s="4"/>
    </row>
    <row r="1449" spans="1:10" x14ac:dyDescent="0.25">
      <c r="A1449" s="39">
        <v>1448</v>
      </c>
      <c r="B1449" s="3" t="s">
        <v>1903</v>
      </c>
      <c r="C1449" s="75" t="s">
        <v>1904</v>
      </c>
      <c r="D1449" s="75" t="s">
        <v>299</v>
      </c>
      <c r="E1449" s="75" t="str">
        <f>"০১৭৩৮৫৯০০১৬"</f>
        <v>০১৭৩৮৫৯০০১৬</v>
      </c>
      <c r="F1449" s="22" t="str">
        <f>"8119457817793"</f>
        <v>8119457817793</v>
      </c>
      <c r="G1449" s="75" t="str">
        <f>"৬২"</f>
        <v>৬২</v>
      </c>
      <c r="H1449" s="75" t="s">
        <v>319</v>
      </c>
      <c r="I1449" s="75" t="s">
        <v>319</v>
      </c>
      <c r="J1449" s="4"/>
    </row>
    <row r="1450" spans="1:10" x14ac:dyDescent="0.25">
      <c r="A1450" s="39">
        <v>1449</v>
      </c>
      <c r="B1450" s="3" t="s">
        <v>1905</v>
      </c>
      <c r="C1450" s="75" t="s">
        <v>1906</v>
      </c>
      <c r="D1450" s="75" t="s">
        <v>299</v>
      </c>
      <c r="E1450" s="75" t="str">
        <f>"০১৭৫৮২১৪৫৮৯"</f>
        <v>০১৭৫৮২১৪৫৮৯</v>
      </c>
      <c r="F1450" s="22" t="str">
        <f>"8119457817802"</f>
        <v>8119457817802</v>
      </c>
      <c r="G1450" s="75" t="str">
        <f>"৬১"</f>
        <v>৬১</v>
      </c>
      <c r="H1450" s="75" t="s">
        <v>315</v>
      </c>
      <c r="I1450" s="75" t="s">
        <v>315</v>
      </c>
      <c r="J1450" s="4"/>
    </row>
    <row r="1451" spans="1:10" x14ac:dyDescent="0.25">
      <c r="A1451" s="39">
        <v>1450</v>
      </c>
      <c r="B1451" s="3" t="s">
        <v>1907</v>
      </c>
      <c r="C1451" s="75" t="s">
        <v>1908</v>
      </c>
      <c r="D1451" s="75" t="s">
        <v>299</v>
      </c>
      <c r="E1451" s="75" t="str">
        <f>"০১৭২৪৪০২৪২৬"</f>
        <v>০১৭২৪৪০২৪২৬</v>
      </c>
      <c r="F1451" s="22" t="str">
        <f>"8119457817755"</f>
        <v>8119457817755</v>
      </c>
      <c r="G1451" s="75" t="str">
        <f>"৬০"</f>
        <v>৬০</v>
      </c>
      <c r="H1451" s="75" t="s">
        <v>316</v>
      </c>
      <c r="I1451" s="75" t="s">
        <v>316</v>
      </c>
      <c r="J1451" s="4"/>
    </row>
    <row r="1452" spans="1:10" x14ac:dyDescent="0.25">
      <c r="A1452" s="39">
        <v>1451</v>
      </c>
      <c r="B1452" s="3" t="s">
        <v>1909</v>
      </c>
      <c r="C1452" s="75" t="s">
        <v>1910</v>
      </c>
      <c r="D1452" s="75" t="s">
        <v>299</v>
      </c>
      <c r="E1452" s="75" t="str">
        <f>"০১৭৪৯০১৮৪২৪"</f>
        <v>০১৭৪৯০১৮৪২৪</v>
      </c>
      <c r="F1452" s="22" t="str">
        <f>"8119457817693"</f>
        <v>8119457817693</v>
      </c>
      <c r="G1452" s="75" t="str">
        <f>"৫৯"</f>
        <v>৫৯</v>
      </c>
      <c r="H1452" s="75" t="s">
        <v>317</v>
      </c>
      <c r="I1452" s="75" t="s">
        <v>317</v>
      </c>
      <c r="J1452" s="4"/>
    </row>
    <row r="1453" spans="1:10" x14ac:dyDescent="0.25">
      <c r="A1453" s="39">
        <v>1452</v>
      </c>
      <c r="B1453" s="3" t="s">
        <v>1911</v>
      </c>
      <c r="C1453" s="75" t="s">
        <v>1912</v>
      </c>
      <c r="D1453" s="75" t="s">
        <v>299</v>
      </c>
      <c r="E1453" s="75" t="str">
        <f>"০"</f>
        <v>০</v>
      </c>
      <c r="F1453" s="22" t="str">
        <f>"8119457814908"</f>
        <v>8119457814908</v>
      </c>
      <c r="G1453" s="75" t="str">
        <f>"৫৮"</f>
        <v>৫৮</v>
      </c>
      <c r="H1453" s="75" t="s">
        <v>318</v>
      </c>
      <c r="I1453" s="75" t="s">
        <v>318</v>
      </c>
      <c r="J1453" s="4"/>
    </row>
    <row r="1454" spans="1:10" x14ac:dyDescent="0.25">
      <c r="A1454" s="39">
        <v>1453</v>
      </c>
      <c r="B1454" s="3" t="s">
        <v>1913</v>
      </c>
      <c r="C1454" s="75" t="s">
        <v>1914</v>
      </c>
      <c r="D1454" s="75" t="s">
        <v>299</v>
      </c>
      <c r="E1454" s="75" t="str">
        <f>"০১৭৯২৮০৮৬৪২"</f>
        <v>০১৭৯২৮০৮৬৪২</v>
      </c>
      <c r="F1454" s="22" t="str">
        <f>"8119457817686"</f>
        <v>8119457817686</v>
      </c>
      <c r="G1454" s="75" t="str">
        <f>"৫৭"</f>
        <v>৫৭</v>
      </c>
      <c r="H1454" s="75" t="s">
        <v>319</v>
      </c>
      <c r="I1454" s="75" t="s">
        <v>319</v>
      </c>
      <c r="J1454" s="4"/>
    </row>
    <row r="1455" spans="1:10" x14ac:dyDescent="0.25">
      <c r="A1455" s="39">
        <v>1454</v>
      </c>
      <c r="B1455" s="3" t="s">
        <v>1915</v>
      </c>
      <c r="C1455" s="75" t="s">
        <v>1916</v>
      </c>
      <c r="D1455" s="75" t="s">
        <v>299</v>
      </c>
      <c r="E1455" s="75" t="str">
        <f>"০১৭২৯৫৪৭৩৩১"</f>
        <v>০১৭২৯৫৪৭৩৩১</v>
      </c>
      <c r="F1455" s="22" t="str">
        <f>"8119457817633"</f>
        <v>8119457817633</v>
      </c>
      <c r="G1455" s="75" t="str">
        <f>"৫৬"</f>
        <v>৫৬</v>
      </c>
      <c r="H1455" s="75" t="s">
        <v>320</v>
      </c>
      <c r="I1455" s="75" t="s">
        <v>320</v>
      </c>
      <c r="J1455" s="4"/>
    </row>
    <row r="1456" spans="1:10" x14ac:dyDescent="0.25">
      <c r="A1456" s="39">
        <v>1455</v>
      </c>
      <c r="B1456" s="3" t="s">
        <v>1917</v>
      </c>
      <c r="C1456" s="75" t="s">
        <v>1918</v>
      </c>
      <c r="D1456" s="75" t="s">
        <v>299</v>
      </c>
      <c r="E1456" s="75" t="str">
        <f>"০১৭৫৭৯২৫২৩৬"</f>
        <v>০১৭৫৭৯২৫২৩৬</v>
      </c>
      <c r="F1456" s="22" t="str">
        <f>"8119457814894"</f>
        <v>8119457814894</v>
      </c>
      <c r="G1456" s="75" t="str">
        <f>"৫৫"</f>
        <v>৫৫</v>
      </c>
      <c r="H1456" s="75" t="s">
        <v>315</v>
      </c>
      <c r="I1456" s="75" t="s">
        <v>315</v>
      </c>
      <c r="J1456" s="4"/>
    </row>
    <row r="1457" spans="1:10" x14ac:dyDescent="0.25">
      <c r="A1457" s="39">
        <v>1456</v>
      </c>
      <c r="B1457" s="3" t="s">
        <v>1919</v>
      </c>
      <c r="C1457" s="75" t="s">
        <v>1920</v>
      </c>
      <c r="D1457" s="75" t="s">
        <v>299</v>
      </c>
      <c r="E1457" s="75" t="str">
        <f>"০১৭৬২৯২৩৮৯১"</f>
        <v>০১৭৬২৯২৩৮৯১</v>
      </c>
      <c r="F1457" s="22" t="str">
        <f>"8119457817719"</f>
        <v>8119457817719</v>
      </c>
      <c r="G1457" s="75" t="str">
        <f>"৫৪"</f>
        <v>৫৪</v>
      </c>
      <c r="H1457" s="75" t="s">
        <v>313</v>
      </c>
      <c r="I1457" s="75" t="s">
        <v>313</v>
      </c>
      <c r="J1457" s="4"/>
    </row>
    <row r="1458" spans="1:10" x14ac:dyDescent="0.25">
      <c r="A1458" s="39">
        <v>1457</v>
      </c>
      <c r="B1458" s="3" t="s">
        <v>2849</v>
      </c>
      <c r="C1458" s="75" t="s">
        <v>2850</v>
      </c>
      <c r="D1458" s="75" t="s">
        <v>299</v>
      </c>
      <c r="E1458" s="75" t="str">
        <f>"০"</f>
        <v>০</v>
      </c>
      <c r="F1458" s="22" t="str">
        <f>"8119457817603"</f>
        <v>8119457817603</v>
      </c>
      <c r="G1458" s="75" t="str">
        <f>"৫৩"</f>
        <v>৫৩</v>
      </c>
      <c r="H1458" s="75" t="s">
        <v>314</v>
      </c>
      <c r="I1458" s="75" t="s">
        <v>314</v>
      </c>
      <c r="J1458" s="4"/>
    </row>
    <row r="1459" spans="1:10" x14ac:dyDescent="0.25">
      <c r="A1459" s="39">
        <v>1458</v>
      </c>
      <c r="B1459" s="3" t="s">
        <v>2851</v>
      </c>
      <c r="C1459" s="75" t="s">
        <v>2852</v>
      </c>
      <c r="D1459" s="75" t="s">
        <v>299</v>
      </c>
      <c r="E1459" s="75" t="str">
        <f>"০"</f>
        <v>০</v>
      </c>
      <c r="F1459" s="22" t="str">
        <f>"8119457817626"</f>
        <v>8119457817626</v>
      </c>
      <c r="G1459" s="75" t="str">
        <f>"৫২"</f>
        <v>৫২</v>
      </c>
      <c r="H1459" s="75" t="s">
        <v>321</v>
      </c>
      <c r="I1459" s="75" t="s">
        <v>321</v>
      </c>
      <c r="J1459" s="4"/>
    </row>
    <row r="1460" spans="1:10" x14ac:dyDescent="0.25">
      <c r="A1460" s="39">
        <v>1459</v>
      </c>
      <c r="B1460" s="3" t="s">
        <v>1823</v>
      </c>
      <c r="C1460" s="75" t="s">
        <v>1887</v>
      </c>
      <c r="D1460" s="75" t="s">
        <v>299</v>
      </c>
      <c r="E1460" s="75" t="str">
        <f>"০১৭৫৮১৬৫১০৩"</f>
        <v>০১৭৫৮১৬৫১০৩</v>
      </c>
      <c r="F1460" s="22" t="str">
        <f>"8119457810198"</f>
        <v>8119457810198</v>
      </c>
      <c r="G1460" s="75" t="str">
        <f>"৫১"</f>
        <v>৫১</v>
      </c>
      <c r="H1460" s="75" t="s">
        <v>322</v>
      </c>
      <c r="I1460" s="75" t="s">
        <v>322</v>
      </c>
      <c r="J1460" s="4"/>
    </row>
    <row r="1461" spans="1:10" x14ac:dyDescent="0.25">
      <c r="A1461" s="39">
        <v>1460</v>
      </c>
      <c r="B1461" s="3" t="s">
        <v>1579</v>
      </c>
      <c r="C1461" s="75" t="s">
        <v>1896</v>
      </c>
      <c r="D1461" s="75" t="s">
        <v>299</v>
      </c>
      <c r="E1461" s="75" t="str">
        <f>"০১৭২৪৮৪০৫৩২"</f>
        <v>০১৭২৪৮৪০৫৩২</v>
      </c>
      <c r="F1461" s="22" t="str">
        <f>"811945781716"</f>
        <v>811945781716</v>
      </c>
      <c r="G1461" s="75" t="str">
        <f>"৫০"</f>
        <v>৫০</v>
      </c>
      <c r="H1461" s="75" t="s">
        <v>314</v>
      </c>
      <c r="I1461" s="75" t="s">
        <v>314</v>
      </c>
      <c r="J1461" s="4"/>
    </row>
    <row r="1462" spans="1:10" x14ac:dyDescent="0.25">
      <c r="A1462" s="39">
        <v>1461</v>
      </c>
      <c r="B1462" s="3" t="s">
        <v>1883</v>
      </c>
      <c r="C1462" s="75" t="s">
        <v>1884</v>
      </c>
      <c r="D1462" s="75" t="s">
        <v>299</v>
      </c>
      <c r="E1462" s="75" t="str">
        <f>"০১৭২১১০২৬৮৩"</f>
        <v>০১৭২১১০২৬৮৩</v>
      </c>
      <c r="F1462" s="22" t="str">
        <f>"8119457819422"</f>
        <v>8119457819422</v>
      </c>
      <c r="G1462" s="75" t="str">
        <f>"৪৯"</f>
        <v>৪৯</v>
      </c>
      <c r="H1462" s="75" t="s">
        <v>323</v>
      </c>
      <c r="I1462" s="75" t="s">
        <v>323</v>
      </c>
      <c r="J1462" s="4"/>
    </row>
    <row r="1463" spans="1:10" x14ac:dyDescent="0.25">
      <c r="A1463" s="39">
        <v>1462</v>
      </c>
      <c r="B1463" s="3" t="s">
        <v>1885</v>
      </c>
      <c r="C1463" s="75" t="s">
        <v>1886</v>
      </c>
      <c r="D1463" s="75" t="s">
        <v>299</v>
      </c>
      <c r="E1463" s="75" t="str">
        <f>"০১৭৩৫৮৫২৪৮০"</f>
        <v>০১৭৩৫৮৫২৪৮০</v>
      </c>
      <c r="F1463" s="22" t="str">
        <f>"8119457817683"</f>
        <v>8119457817683</v>
      </c>
      <c r="G1463" s="75" t="str">
        <f>"৪৮"</f>
        <v>৪৮</v>
      </c>
      <c r="H1463" s="75" t="s">
        <v>324</v>
      </c>
      <c r="I1463" s="75" t="s">
        <v>324</v>
      </c>
      <c r="J1463" s="4"/>
    </row>
    <row r="1464" spans="1:10" x14ac:dyDescent="0.25">
      <c r="A1464" s="39">
        <v>1463</v>
      </c>
      <c r="B1464" s="3" t="s">
        <v>1887</v>
      </c>
      <c r="C1464" s="75" t="s">
        <v>1888</v>
      </c>
      <c r="D1464" s="75" t="s">
        <v>299</v>
      </c>
      <c r="E1464" s="75" t="str">
        <f>"০"</f>
        <v>০</v>
      </c>
      <c r="F1464" s="22" t="str">
        <f>"8119457817621"</f>
        <v>8119457817621</v>
      </c>
      <c r="G1464" s="75" t="str">
        <f>"৪৭"</f>
        <v>৪৭</v>
      </c>
      <c r="H1464" s="75" t="s">
        <v>325</v>
      </c>
      <c r="I1464" s="75" t="s">
        <v>325</v>
      </c>
      <c r="J1464" s="4"/>
    </row>
    <row r="1465" spans="1:10" x14ac:dyDescent="0.25">
      <c r="A1465" s="39">
        <v>1464</v>
      </c>
      <c r="B1465" s="3" t="s">
        <v>1889</v>
      </c>
      <c r="C1465" s="75" t="s">
        <v>1890</v>
      </c>
      <c r="D1465" s="75" t="s">
        <v>299</v>
      </c>
      <c r="E1465" s="75" t="str">
        <f>"০১৭১৪৬০২৪০৮"</f>
        <v>০১৭১৪৬০২৪০৮</v>
      </c>
      <c r="F1465" s="22" t="str">
        <f>"8119457817452"</f>
        <v>8119457817452</v>
      </c>
      <c r="G1465" s="75" t="str">
        <f>"৪৬"</f>
        <v>৪৬</v>
      </c>
      <c r="H1465" s="75" t="s">
        <v>319</v>
      </c>
      <c r="I1465" s="75" t="s">
        <v>319</v>
      </c>
      <c r="J1465" s="4"/>
    </row>
    <row r="1466" spans="1:10" x14ac:dyDescent="0.25">
      <c r="A1466" s="39">
        <v>1465</v>
      </c>
      <c r="B1466" s="3" t="s">
        <v>1891</v>
      </c>
      <c r="C1466" s="75" t="s">
        <v>1892</v>
      </c>
      <c r="D1466" s="75" t="s">
        <v>299</v>
      </c>
      <c r="E1466" s="75" t="str">
        <f>"০১৭১৯৯৩২৯৭৩"</f>
        <v>০১৭১৯৯৩২৯৭৩</v>
      </c>
      <c r="F1466" s="22" t="str">
        <f>"8119457813889"</f>
        <v>8119457813889</v>
      </c>
      <c r="G1466" s="75" t="str">
        <f>"৪৫"</f>
        <v>৪৫</v>
      </c>
      <c r="H1466" s="75" t="s">
        <v>326</v>
      </c>
      <c r="I1466" s="75" t="s">
        <v>326</v>
      </c>
      <c r="J1466" s="4"/>
    </row>
    <row r="1467" spans="1:10" x14ac:dyDescent="0.25">
      <c r="A1467" s="39">
        <v>1466</v>
      </c>
      <c r="B1467" s="3" t="s">
        <v>1893</v>
      </c>
      <c r="C1467" s="75" t="s">
        <v>1614</v>
      </c>
      <c r="D1467" s="75" t="s">
        <v>299</v>
      </c>
      <c r="E1467" s="75" t="str">
        <f>"০১৮৬৭৯৯০৫৫৪"</f>
        <v>০১৮৬৭৯৯০৫৫৪</v>
      </c>
      <c r="F1467" s="22" t="str">
        <f>"8119457817752"</f>
        <v>8119457817752</v>
      </c>
      <c r="G1467" s="75" t="str">
        <f>"৪৪"</f>
        <v>৪৪</v>
      </c>
      <c r="H1467" s="75" t="s">
        <v>327</v>
      </c>
      <c r="I1467" s="75" t="s">
        <v>327</v>
      </c>
      <c r="J1467" s="4"/>
    </row>
    <row r="1468" spans="1:10" x14ac:dyDescent="0.25">
      <c r="A1468" s="39">
        <v>1467</v>
      </c>
      <c r="B1468" s="3" t="s">
        <v>1894</v>
      </c>
      <c r="C1468" s="75" t="s">
        <v>1895</v>
      </c>
      <c r="D1468" s="75" t="s">
        <v>299</v>
      </c>
      <c r="E1468" s="75" t="str">
        <f>"০১৭৩৫৮৫২৪৭৬"</f>
        <v>০১৭৩৫৮৫২৪৭৬</v>
      </c>
      <c r="F1468" s="22" t="str">
        <f>"8119457817152"</f>
        <v>8119457817152</v>
      </c>
      <c r="G1468" s="75" t="str">
        <f>"৪৩"</f>
        <v>৪৩</v>
      </c>
      <c r="H1468" s="75" t="s">
        <v>328</v>
      </c>
      <c r="I1468" s="75" t="s">
        <v>328</v>
      </c>
      <c r="J1468" s="4"/>
    </row>
    <row r="1469" spans="1:10" x14ac:dyDescent="0.25">
      <c r="A1469" s="39">
        <v>1468</v>
      </c>
      <c r="B1469" s="3" t="s">
        <v>2853</v>
      </c>
      <c r="C1469" s="75" t="s">
        <v>2854</v>
      </c>
      <c r="D1469" s="75" t="s">
        <v>299</v>
      </c>
      <c r="E1469" s="75" t="str">
        <f>"০"</f>
        <v>০</v>
      </c>
      <c r="F1469" s="22" t="str">
        <f>"8119457814898"</f>
        <v>8119457814898</v>
      </c>
      <c r="G1469" s="75" t="str">
        <f>"৪২"</f>
        <v>৪২</v>
      </c>
      <c r="H1469" s="75" t="s">
        <v>329</v>
      </c>
      <c r="I1469" s="75" t="s">
        <v>329</v>
      </c>
      <c r="J1469" s="4"/>
    </row>
    <row r="1470" spans="1:10" x14ac:dyDescent="0.25">
      <c r="A1470" s="39">
        <v>1469</v>
      </c>
      <c r="B1470" s="3" t="s">
        <v>2855</v>
      </c>
      <c r="C1470" s="75" t="s">
        <v>2856</v>
      </c>
      <c r="D1470" s="75" t="s">
        <v>299</v>
      </c>
      <c r="E1470" s="75" t="str">
        <f>"০"</f>
        <v>০</v>
      </c>
      <c r="F1470" s="22" t="str">
        <f>"8119457817546"</f>
        <v>8119457817546</v>
      </c>
      <c r="G1470" s="75" t="str">
        <f>"৪১"</f>
        <v>৪১</v>
      </c>
      <c r="H1470" s="75" t="s">
        <v>330</v>
      </c>
      <c r="I1470" s="75" t="s">
        <v>330</v>
      </c>
      <c r="J1470" s="4"/>
    </row>
    <row r="1471" spans="1:10" x14ac:dyDescent="0.25">
      <c r="A1471" s="39">
        <v>1470</v>
      </c>
      <c r="B1471" s="3" t="s">
        <v>1879</v>
      </c>
      <c r="C1471" s="75" t="s">
        <v>1880</v>
      </c>
      <c r="D1471" s="75" t="s">
        <v>299</v>
      </c>
      <c r="E1471" s="75" t="str">
        <f>"০১৭৭০৬৪৮৭৭৭"</f>
        <v>০১৭৭০৬৪৮৭৭৭</v>
      </c>
      <c r="F1471" s="22" t="str">
        <f>"8119457817738"</f>
        <v>8119457817738</v>
      </c>
      <c r="G1471" s="75" t="str">
        <f>"৪০"</f>
        <v>৪০</v>
      </c>
      <c r="H1471" s="75" t="s">
        <v>319</v>
      </c>
      <c r="I1471" s="75" t="s">
        <v>319</v>
      </c>
      <c r="J1471" s="4"/>
    </row>
    <row r="1472" spans="1:10" x14ac:dyDescent="0.25">
      <c r="A1472" s="39">
        <v>1471</v>
      </c>
      <c r="B1472" s="3" t="s">
        <v>1697</v>
      </c>
      <c r="C1472" s="75" t="s">
        <v>1656</v>
      </c>
      <c r="D1472" s="75" t="s">
        <v>299</v>
      </c>
      <c r="E1472" s="75" t="str">
        <f>"০১৭৪০৯৪৬৭১৬"</f>
        <v>০১৭৪০৯৪৬৭১৬</v>
      </c>
      <c r="F1472" s="22" t="str">
        <f>"8119457814888"</f>
        <v>8119457814888</v>
      </c>
      <c r="G1472" s="75" t="str">
        <f>"৩৯"</f>
        <v>৩৯</v>
      </c>
      <c r="H1472" s="75" t="s">
        <v>317</v>
      </c>
      <c r="I1472" s="75" t="s">
        <v>317</v>
      </c>
      <c r="J1472" s="4"/>
    </row>
    <row r="1473" spans="1:10" x14ac:dyDescent="0.25">
      <c r="A1473" s="39">
        <v>1472</v>
      </c>
      <c r="B1473" s="3" t="s">
        <v>1881</v>
      </c>
      <c r="C1473" s="75" t="s">
        <v>1882</v>
      </c>
      <c r="D1473" s="75" t="s">
        <v>299</v>
      </c>
      <c r="E1473" s="75" t="str">
        <f>"০১৭৩৭৪৩০৯০২"</f>
        <v>০১৭৩৭৪৩০৯০২</v>
      </c>
      <c r="F1473" s="22" t="str">
        <f>"8119457817643"</f>
        <v>8119457817643</v>
      </c>
      <c r="G1473" s="75" t="str">
        <f>"৩৮"</f>
        <v>৩৮</v>
      </c>
      <c r="H1473" s="75" t="s">
        <v>323</v>
      </c>
      <c r="I1473" s="75" t="s">
        <v>323</v>
      </c>
      <c r="J1473" s="4"/>
    </row>
    <row r="1474" spans="1:10" x14ac:dyDescent="0.25">
      <c r="A1474" s="39">
        <v>1473</v>
      </c>
      <c r="B1474" s="3" t="s">
        <v>2857</v>
      </c>
      <c r="C1474" s="75" t="s">
        <v>2858</v>
      </c>
      <c r="D1474" s="75" t="s">
        <v>299</v>
      </c>
      <c r="E1474" s="75" t="str">
        <f>"০"</f>
        <v>০</v>
      </c>
      <c r="F1474" s="22" t="str">
        <f>"8119457810147"</f>
        <v>8119457810147</v>
      </c>
      <c r="G1474" s="75" t="str">
        <f>"৩৭"</f>
        <v>৩৭</v>
      </c>
      <c r="H1474" s="75" t="s">
        <v>326</v>
      </c>
      <c r="I1474" s="75" t="s">
        <v>326</v>
      </c>
      <c r="J1474" s="4"/>
    </row>
    <row r="1475" spans="1:10" x14ac:dyDescent="0.25">
      <c r="A1475" s="39">
        <v>1474</v>
      </c>
      <c r="B1475" s="3" t="s">
        <v>2859</v>
      </c>
      <c r="C1475" s="75" t="s">
        <v>2275</v>
      </c>
      <c r="D1475" s="75" t="s">
        <v>299</v>
      </c>
      <c r="E1475" s="75" t="str">
        <f>"০১৭৩৭৪৩০৯০২"</f>
        <v>০১৭৩৭৪৩০৯০২</v>
      </c>
      <c r="F1475" s="22" t="str">
        <f>"8119457817805"</f>
        <v>8119457817805</v>
      </c>
      <c r="G1475" s="75" t="str">
        <f>"৩৬"</f>
        <v>৩৬</v>
      </c>
      <c r="H1475" s="75" t="s">
        <v>331</v>
      </c>
      <c r="I1475" s="75" t="s">
        <v>331</v>
      </c>
      <c r="J1475" s="4"/>
    </row>
    <row r="1476" spans="1:10" x14ac:dyDescent="0.25">
      <c r="A1476" s="39">
        <v>1475</v>
      </c>
      <c r="B1476" s="3" t="s">
        <v>2860</v>
      </c>
      <c r="C1476" s="75" t="s">
        <v>2861</v>
      </c>
      <c r="D1476" s="75" t="s">
        <v>299</v>
      </c>
      <c r="E1476" s="75" t="str">
        <f>"০"</f>
        <v>০</v>
      </c>
      <c r="F1476" s="22" t="str">
        <f>"8119457817771"</f>
        <v>8119457817771</v>
      </c>
      <c r="G1476" s="75" t="str">
        <f>"৩৫"</f>
        <v>৩৫</v>
      </c>
      <c r="H1476" s="75" t="s">
        <v>329</v>
      </c>
      <c r="I1476" s="75" t="s">
        <v>329</v>
      </c>
      <c r="J1476" s="4"/>
    </row>
    <row r="1477" spans="1:10" x14ac:dyDescent="0.25">
      <c r="A1477" s="39">
        <v>1476</v>
      </c>
      <c r="B1477" s="3" t="s">
        <v>1538</v>
      </c>
      <c r="C1477" s="75" t="s">
        <v>1628</v>
      </c>
      <c r="D1477" s="75" t="s">
        <v>299</v>
      </c>
      <c r="E1477" s="75" t="str">
        <f>"০১৯২৯১১৩০২৭"</f>
        <v>০১৯২৯১১৩০২৭</v>
      </c>
      <c r="F1477" s="22" t="str">
        <f>"8119457000007"</f>
        <v>8119457000007</v>
      </c>
      <c r="G1477" s="75" t="str">
        <f>"৩৪"</f>
        <v>৩৪</v>
      </c>
      <c r="H1477" s="75" t="s">
        <v>332</v>
      </c>
      <c r="I1477" s="75" t="s">
        <v>332</v>
      </c>
      <c r="J1477" s="4"/>
    </row>
    <row r="1478" spans="1:10" x14ac:dyDescent="0.25">
      <c r="A1478" s="39">
        <v>1477</v>
      </c>
      <c r="B1478" s="3" t="s">
        <v>1745</v>
      </c>
      <c r="C1478" s="75" t="s">
        <v>1637</v>
      </c>
      <c r="D1478" s="75" t="s">
        <v>299</v>
      </c>
      <c r="E1478" s="75" t="str">
        <f>"০১৭৩৪৪৬৫০৭১"</f>
        <v>০১৭৩৪৪৬৫০৭১</v>
      </c>
      <c r="F1478" s="22" t="str">
        <f>"8119457817754"</f>
        <v>8119457817754</v>
      </c>
      <c r="G1478" s="75" t="str">
        <f>"৩৩"</f>
        <v>৩৩</v>
      </c>
      <c r="H1478" s="75" t="s">
        <v>316</v>
      </c>
      <c r="I1478" s="75" t="s">
        <v>316</v>
      </c>
      <c r="J1478" s="4"/>
    </row>
    <row r="1479" spans="1:10" x14ac:dyDescent="0.25">
      <c r="A1479" s="39">
        <v>1478</v>
      </c>
      <c r="B1479" s="3" t="s">
        <v>1659</v>
      </c>
      <c r="C1479" s="75" t="s">
        <v>1637</v>
      </c>
      <c r="D1479" s="75" t="s">
        <v>299</v>
      </c>
      <c r="E1479" s="75" t="str">
        <f>"০"</f>
        <v>০</v>
      </c>
      <c r="F1479" s="22" t="str">
        <f>"8119457817742"</f>
        <v>8119457817742</v>
      </c>
      <c r="G1479" s="75" t="str">
        <f>"৩২"</f>
        <v>৩২</v>
      </c>
      <c r="H1479" s="75" t="s">
        <v>330</v>
      </c>
      <c r="I1479" s="75" t="s">
        <v>330</v>
      </c>
      <c r="J1479" s="4"/>
    </row>
    <row r="1480" spans="1:10" x14ac:dyDescent="0.25">
      <c r="A1480" s="39">
        <v>1479</v>
      </c>
      <c r="B1480" s="3" t="s">
        <v>1732</v>
      </c>
      <c r="C1480" s="75" t="s">
        <v>1649</v>
      </c>
      <c r="D1480" s="75" t="s">
        <v>299</v>
      </c>
      <c r="E1480" s="75" t="str">
        <f>"০১৭১০২৪৩৩৯০"</f>
        <v>০১৭১০২৪৩৩৯০</v>
      </c>
      <c r="F1480" s="22" t="str">
        <f>"8119457817632"</f>
        <v>8119457817632</v>
      </c>
      <c r="G1480" s="75" t="str">
        <f>"৩১"</f>
        <v>৩১</v>
      </c>
      <c r="H1480" s="75" t="s">
        <v>333</v>
      </c>
      <c r="I1480" s="75" t="s">
        <v>333</v>
      </c>
      <c r="J1480" s="4"/>
    </row>
    <row r="1481" spans="1:10" x14ac:dyDescent="0.25">
      <c r="A1481" s="39">
        <v>1480</v>
      </c>
      <c r="B1481" s="3" t="s">
        <v>1872</v>
      </c>
      <c r="C1481" s="75" t="s">
        <v>1873</v>
      </c>
      <c r="D1481" s="75" t="s">
        <v>299</v>
      </c>
      <c r="E1481" s="75" t="str">
        <f>"০১৭৫৮১৬৫৬৯১"</f>
        <v>০১৭৫৮১৬৫৬৯১</v>
      </c>
      <c r="F1481" s="22" t="str">
        <f>"8119457817780"</f>
        <v>8119457817780</v>
      </c>
      <c r="G1481" s="75" t="str">
        <f>"৩০"</f>
        <v>৩০</v>
      </c>
      <c r="H1481" s="75" t="s">
        <v>319</v>
      </c>
      <c r="I1481" s="75" t="s">
        <v>319</v>
      </c>
      <c r="J1481" s="4"/>
    </row>
    <row r="1482" spans="1:10" x14ac:dyDescent="0.25">
      <c r="A1482" s="39">
        <v>1481</v>
      </c>
      <c r="B1482" s="3" t="s">
        <v>1781</v>
      </c>
      <c r="C1482" s="75" t="s">
        <v>1874</v>
      </c>
      <c r="D1482" s="75" t="s">
        <v>299</v>
      </c>
      <c r="E1482" s="75" t="str">
        <f>"০১৭২০২৭৫৩৭৭"</f>
        <v>০১৭২০২৭৫৩৭৭</v>
      </c>
      <c r="F1482" s="22" t="str">
        <f>"8119457814892"</f>
        <v>8119457814892</v>
      </c>
      <c r="G1482" s="75" t="str">
        <f>"২৯"</f>
        <v>২৯</v>
      </c>
      <c r="H1482" s="75" t="s">
        <v>322</v>
      </c>
      <c r="I1482" s="75" t="s">
        <v>322</v>
      </c>
      <c r="J1482" s="4"/>
    </row>
    <row r="1483" spans="1:10" x14ac:dyDescent="0.25">
      <c r="A1483" s="39">
        <v>1482</v>
      </c>
      <c r="B1483" s="11" t="s">
        <v>1875</v>
      </c>
      <c r="C1483" s="75" t="s">
        <v>1876</v>
      </c>
      <c r="D1483" s="75" t="s">
        <v>299</v>
      </c>
      <c r="E1483" s="75" t="str">
        <f>"০১৭৩৯৪৮৪৬৯১"</f>
        <v>০১৭৩৯৪৮৪৬৯১</v>
      </c>
      <c r="F1483" s="22" t="str">
        <f>"8119457817470"</f>
        <v>8119457817470</v>
      </c>
      <c r="G1483" s="75" t="str">
        <f>"২৮"</f>
        <v>২৮</v>
      </c>
      <c r="H1483" s="75" t="s">
        <v>319</v>
      </c>
      <c r="I1483" s="75" t="s">
        <v>319</v>
      </c>
      <c r="J1483" s="4"/>
    </row>
    <row r="1484" spans="1:10" x14ac:dyDescent="0.25">
      <c r="A1484" s="39">
        <v>1483</v>
      </c>
      <c r="B1484" s="3" t="s">
        <v>1877</v>
      </c>
      <c r="C1484" s="75" t="s">
        <v>1878</v>
      </c>
      <c r="D1484" s="75" t="s">
        <v>299</v>
      </c>
      <c r="E1484" s="75" t="str">
        <f>"০১৯৭১৫২৩৩২৭"</f>
        <v>০১৯৭১৫২৩৩২৭</v>
      </c>
      <c r="F1484" s="22" t="str">
        <f>"8119457000121"</f>
        <v>8119457000121</v>
      </c>
      <c r="G1484" s="75" t="str">
        <f>"২৭"</f>
        <v>২৭</v>
      </c>
      <c r="H1484" s="75" t="s">
        <v>315</v>
      </c>
      <c r="I1484" s="75" t="s">
        <v>315</v>
      </c>
      <c r="J1484" s="4"/>
    </row>
    <row r="1485" spans="1:10" x14ac:dyDescent="0.25">
      <c r="A1485" s="39">
        <v>1484</v>
      </c>
      <c r="B1485" s="3" t="s">
        <v>2424</v>
      </c>
      <c r="C1485" s="75" t="s">
        <v>1896</v>
      </c>
      <c r="D1485" s="75" t="s">
        <v>299</v>
      </c>
      <c r="E1485" s="75" t="str">
        <f>"০১৭১২৩৬২৯৩১"</f>
        <v>০১৭১২৩৬২৯৩১</v>
      </c>
      <c r="F1485" s="22" t="str">
        <f>"8119457817451"</f>
        <v>8119457817451</v>
      </c>
      <c r="G1485" s="75" t="str">
        <f>"২৬"</f>
        <v>২৬</v>
      </c>
      <c r="H1485" s="75" t="s">
        <v>316</v>
      </c>
      <c r="I1485" s="75" t="s">
        <v>316</v>
      </c>
      <c r="J1485" s="4"/>
    </row>
    <row r="1486" spans="1:10" x14ac:dyDescent="0.25">
      <c r="A1486" s="39">
        <v>1485</v>
      </c>
      <c r="B1486" s="3" t="s">
        <v>2862</v>
      </c>
      <c r="C1486" s="75" t="s">
        <v>1571</v>
      </c>
      <c r="D1486" s="75" t="s">
        <v>299</v>
      </c>
      <c r="E1486" s="75" t="str">
        <f>"০১৭২৩৮৮৬২০০"</f>
        <v>০১৭২৩৮৮৬২০০</v>
      </c>
      <c r="F1486" s="22" t="str">
        <f>"8119457817492"</f>
        <v>8119457817492</v>
      </c>
      <c r="G1486" s="75" t="str">
        <f>"২৫"</f>
        <v>২৫</v>
      </c>
      <c r="H1486" s="75" t="s">
        <v>317</v>
      </c>
      <c r="I1486" s="75" t="s">
        <v>317</v>
      </c>
      <c r="J1486" s="4"/>
    </row>
    <row r="1487" spans="1:10" x14ac:dyDescent="0.25">
      <c r="A1487" s="39">
        <v>1486</v>
      </c>
      <c r="B1487" s="3" t="s">
        <v>2808</v>
      </c>
      <c r="C1487" s="75" t="s">
        <v>2014</v>
      </c>
      <c r="D1487" s="75" t="s">
        <v>299</v>
      </c>
      <c r="E1487" s="75" t="str">
        <f>"০১৭৪৪৫০৬৪২৮"</f>
        <v>০১৭৪৪৫০৬৪২৮</v>
      </c>
      <c r="F1487" s="22" t="str">
        <f>"8119457817792"</f>
        <v>8119457817792</v>
      </c>
      <c r="G1487" s="75" t="str">
        <f>"২৪"</f>
        <v>২৪</v>
      </c>
      <c r="H1487" s="75" t="s">
        <v>318</v>
      </c>
      <c r="I1487" s="75" t="s">
        <v>318</v>
      </c>
      <c r="J1487" s="4"/>
    </row>
    <row r="1488" spans="1:10" x14ac:dyDescent="0.25">
      <c r="A1488" s="39">
        <v>1487</v>
      </c>
      <c r="B1488" s="3" t="s">
        <v>2022</v>
      </c>
      <c r="C1488" s="75" t="s">
        <v>2125</v>
      </c>
      <c r="D1488" s="75" t="s">
        <v>299</v>
      </c>
      <c r="E1488" s="75" t="str">
        <f>"০১৭২৭৪৫৫০৫০"</f>
        <v>০১৭২৭৪৫৫০৫০</v>
      </c>
      <c r="F1488" s="22" t="str">
        <f>"8119457817616"</f>
        <v>8119457817616</v>
      </c>
      <c r="G1488" s="75" t="str">
        <f>"২৩"</f>
        <v>২৩</v>
      </c>
      <c r="H1488" s="75" t="s">
        <v>319</v>
      </c>
      <c r="I1488" s="75" t="s">
        <v>319</v>
      </c>
      <c r="J1488" s="4"/>
    </row>
    <row r="1489" spans="1:10" x14ac:dyDescent="0.25">
      <c r="A1489" s="39">
        <v>1488</v>
      </c>
      <c r="B1489" s="3" t="s">
        <v>2863</v>
      </c>
      <c r="C1489" s="75" t="s">
        <v>2820</v>
      </c>
      <c r="D1489" s="75" t="s">
        <v>299</v>
      </c>
      <c r="E1489" s="75" t="str">
        <f>"০১৭৩৭২৪৩৭৮৮"</f>
        <v>০১৭৩৭২৪৩৭৮৮</v>
      </c>
      <c r="F1489" s="22" t="str">
        <f>"8119457814889"</f>
        <v>8119457814889</v>
      </c>
      <c r="G1489" s="75" t="str">
        <f>"২২"</f>
        <v>২২</v>
      </c>
      <c r="H1489" s="75" t="s">
        <v>320</v>
      </c>
      <c r="I1489" s="75" t="s">
        <v>320</v>
      </c>
      <c r="J1489" s="4"/>
    </row>
    <row r="1490" spans="1:10" x14ac:dyDescent="0.25">
      <c r="A1490" s="39">
        <v>1489</v>
      </c>
      <c r="B1490" s="3" t="s">
        <v>2864</v>
      </c>
      <c r="C1490" s="75" t="s">
        <v>2865</v>
      </c>
      <c r="D1490" s="75" t="s">
        <v>299</v>
      </c>
      <c r="E1490" s="75" t="str">
        <f>"০১৭৭৫৩২১৭৭৫"</f>
        <v>০১৭৭৫৩২১৭৭৫</v>
      </c>
      <c r="F1490" s="22" t="str">
        <f>"8119457817739"</f>
        <v>8119457817739</v>
      </c>
      <c r="G1490" s="75" t="str">
        <f>"২১"</f>
        <v>২১</v>
      </c>
      <c r="H1490" s="75" t="s">
        <v>315</v>
      </c>
      <c r="I1490" s="75" t="s">
        <v>315</v>
      </c>
      <c r="J1490" s="4"/>
    </row>
    <row r="1491" spans="1:10" x14ac:dyDescent="0.25">
      <c r="A1491" s="39">
        <v>1490</v>
      </c>
      <c r="B1491" s="11" t="s">
        <v>2258</v>
      </c>
      <c r="C1491" s="75" t="s">
        <v>2014</v>
      </c>
      <c r="D1491" s="75" t="s">
        <v>299</v>
      </c>
      <c r="E1491" s="75" t="str">
        <f>"০"</f>
        <v>০</v>
      </c>
      <c r="F1491" s="22" t="str">
        <f>"8119457817489"</f>
        <v>8119457817489</v>
      </c>
      <c r="G1491" s="75" t="str">
        <f>"২০"</f>
        <v>২০</v>
      </c>
      <c r="H1491" s="75" t="s">
        <v>313</v>
      </c>
      <c r="I1491" s="75" t="s">
        <v>313</v>
      </c>
      <c r="J1491" s="4"/>
    </row>
    <row r="1492" spans="1:10" x14ac:dyDescent="0.25">
      <c r="A1492" s="39">
        <v>1491</v>
      </c>
      <c r="B1492" s="3" t="s">
        <v>1588</v>
      </c>
      <c r="C1492" s="75" t="s">
        <v>2434</v>
      </c>
      <c r="D1492" s="75" t="s">
        <v>299</v>
      </c>
      <c r="E1492" s="75" t="str">
        <f>"০"</f>
        <v>০</v>
      </c>
      <c r="F1492" s="22" t="str">
        <f>"8119457817808"</f>
        <v>8119457817808</v>
      </c>
      <c r="G1492" s="75" t="str">
        <f>"১৯"</f>
        <v>১৯</v>
      </c>
      <c r="H1492" s="75" t="s">
        <v>314</v>
      </c>
      <c r="I1492" s="75" t="s">
        <v>314</v>
      </c>
      <c r="J1492" s="4"/>
    </row>
    <row r="1493" spans="1:10" x14ac:dyDescent="0.25">
      <c r="A1493" s="39">
        <v>1492</v>
      </c>
      <c r="B1493" s="11" t="s">
        <v>2201</v>
      </c>
      <c r="C1493" s="75" t="s">
        <v>2865</v>
      </c>
      <c r="D1493" s="75" t="s">
        <v>299</v>
      </c>
      <c r="E1493" s="75" t="str">
        <f>"০১৭৩৯২০১০৯২"</f>
        <v>০১৭৩৯২০১০৯২</v>
      </c>
      <c r="F1493" s="22" t="str">
        <f>"8119457817798"</f>
        <v>8119457817798</v>
      </c>
      <c r="G1493" s="75" t="str">
        <f>"১৮"</f>
        <v>১৮</v>
      </c>
      <c r="H1493" s="75" t="s">
        <v>321</v>
      </c>
      <c r="I1493" s="75" t="s">
        <v>321</v>
      </c>
      <c r="J1493" s="4"/>
    </row>
    <row r="1494" spans="1:10" x14ac:dyDescent="0.25">
      <c r="A1494" s="39">
        <v>1493</v>
      </c>
      <c r="B1494" s="3" t="s">
        <v>2866</v>
      </c>
      <c r="C1494" s="75" t="s">
        <v>2867</v>
      </c>
      <c r="D1494" s="75" t="s">
        <v>299</v>
      </c>
      <c r="E1494" s="75" t="str">
        <f>"০"</f>
        <v>০</v>
      </c>
      <c r="F1494" s="22" t="str">
        <f>"8119457814890"</f>
        <v>8119457814890</v>
      </c>
      <c r="G1494" s="75" t="str">
        <f>"১৭"</f>
        <v>১৭</v>
      </c>
      <c r="H1494" s="75" t="s">
        <v>322</v>
      </c>
      <c r="I1494" s="75" t="s">
        <v>322</v>
      </c>
      <c r="J1494" s="4"/>
    </row>
    <row r="1495" spans="1:10" x14ac:dyDescent="0.25">
      <c r="A1495" s="39">
        <v>1494</v>
      </c>
      <c r="B1495" s="3" t="s">
        <v>1571</v>
      </c>
      <c r="C1495" s="75" t="s">
        <v>1554</v>
      </c>
      <c r="D1495" s="75" t="s">
        <v>299</v>
      </c>
      <c r="E1495" s="75" t="str">
        <f>"০১৭৩৫৮৩৮১৪৭"</f>
        <v>০১৭৩৫৮৩৮১৪৭</v>
      </c>
      <c r="F1495" s="22" t="str">
        <f>"8119457817751"</f>
        <v>8119457817751</v>
      </c>
      <c r="G1495" s="75" t="str">
        <f>"১৬"</f>
        <v>১৬</v>
      </c>
      <c r="H1495" s="75" t="s">
        <v>314</v>
      </c>
      <c r="I1495" s="75" t="s">
        <v>314</v>
      </c>
      <c r="J1495" s="4"/>
    </row>
    <row r="1496" spans="1:10" x14ac:dyDescent="0.25">
      <c r="A1496" s="39">
        <v>1495</v>
      </c>
      <c r="B1496" s="3" t="s">
        <v>2868</v>
      </c>
      <c r="C1496" s="75" t="s">
        <v>2869</v>
      </c>
      <c r="D1496" s="75" t="s">
        <v>299</v>
      </c>
      <c r="E1496" s="75" t="str">
        <f>"০"</f>
        <v>০</v>
      </c>
      <c r="F1496" s="22" t="str">
        <f>"8119457817481"</f>
        <v>8119457817481</v>
      </c>
      <c r="G1496" s="75" t="str">
        <f>"১৫"</f>
        <v>১৫</v>
      </c>
      <c r="H1496" s="75" t="s">
        <v>323</v>
      </c>
      <c r="I1496" s="75" t="s">
        <v>323</v>
      </c>
      <c r="J1496" s="4"/>
    </row>
    <row r="1497" spans="1:10" x14ac:dyDescent="0.25">
      <c r="A1497" s="39">
        <v>1496</v>
      </c>
      <c r="B1497" s="3" t="s">
        <v>1664</v>
      </c>
      <c r="C1497" s="75" t="s">
        <v>2870</v>
      </c>
      <c r="D1497" s="75" t="s">
        <v>299</v>
      </c>
      <c r="E1497" s="75" t="str">
        <f>"০১৭৪১৩৪৪৮৭১"</f>
        <v>০১৭৪১৩৪৪৮৭১</v>
      </c>
      <c r="F1497" s="22" t="str">
        <f>"8119457814887"</f>
        <v>8119457814887</v>
      </c>
      <c r="G1497" s="75" t="str">
        <f>"১৪"</f>
        <v>১৪</v>
      </c>
      <c r="H1497" s="75" t="s">
        <v>324</v>
      </c>
      <c r="I1497" s="75" t="s">
        <v>324</v>
      </c>
      <c r="J1497" s="4"/>
    </row>
    <row r="1498" spans="1:10" x14ac:dyDescent="0.25">
      <c r="A1498" s="39">
        <v>1497</v>
      </c>
      <c r="B1498" s="3" t="s">
        <v>1601</v>
      </c>
      <c r="C1498" s="75" t="s">
        <v>1908</v>
      </c>
      <c r="D1498" s="75" t="s">
        <v>299</v>
      </c>
      <c r="E1498" s="75" t="str">
        <f>"০১৭৫৮২১৪৫৮৯"</f>
        <v>০১৭৫৮২১৪৫৮৯</v>
      </c>
      <c r="F1498" s="22" t="str">
        <f>"8119457817744"</f>
        <v>8119457817744</v>
      </c>
      <c r="G1498" s="75" t="str">
        <f>"১৩"</f>
        <v>১৩</v>
      </c>
      <c r="H1498" s="75" t="s">
        <v>325</v>
      </c>
      <c r="I1498" s="75" t="s">
        <v>325</v>
      </c>
      <c r="J1498" s="4"/>
    </row>
    <row r="1499" spans="1:10" x14ac:dyDescent="0.25">
      <c r="A1499" s="39">
        <v>1498</v>
      </c>
      <c r="B1499" s="3" t="s">
        <v>2871</v>
      </c>
      <c r="C1499" s="75" t="s">
        <v>2872</v>
      </c>
      <c r="D1499" s="75" t="s">
        <v>299</v>
      </c>
      <c r="E1499" s="75" t="str">
        <f>"০১৭৭৩৪১৭৬৬১"</f>
        <v>০১৭৭৩৪১৭৬৬১</v>
      </c>
      <c r="F1499" s="22" t="str">
        <f>"8119457817684"</f>
        <v>8119457817684</v>
      </c>
      <c r="G1499" s="75" t="str">
        <f>"১২"</f>
        <v>১২</v>
      </c>
      <c r="H1499" s="75" t="s">
        <v>319</v>
      </c>
      <c r="I1499" s="75" t="s">
        <v>319</v>
      </c>
      <c r="J1499" s="4"/>
    </row>
    <row r="1500" spans="1:10" x14ac:dyDescent="0.25">
      <c r="A1500" s="39">
        <v>1499</v>
      </c>
      <c r="B1500" s="3" t="s">
        <v>2014</v>
      </c>
      <c r="C1500" s="75" t="s">
        <v>2144</v>
      </c>
      <c r="D1500" s="75" t="s">
        <v>299</v>
      </c>
      <c r="E1500" s="75" t="str">
        <f>"০১৭৪০০৭৩৯১২"</f>
        <v>০১৭৪০০৭৩৯১২</v>
      </c>
      <c r="F1500" s="22" t="str">
        <f>"8119457817790"</f>
        <v>8119457817790</v>
      </c>
      <c r="G1500" s="75" t="str">
        <f>"১১"</f>
        <v>১১</v>
      </c>
      <c r="H1500" s="75" t="s">
        <v>326</v>
      </c>
      <c r="I1500" s="75" t="s">
        <v>326</v>
      </c>
      <c r="J1500" s="4"/>
    </row>
    <row r="1501" spans="1:10" x14ac:dyDescent="0.25">
      <c r="A1501" s="39">
        <v>1500</v>
      </c>
      <c r="B1501" s="3" t="s">
        <v>1660</v>
      </c>
      <c r="C1501" s="75" t="s">
        <v>2873</v>
      </c>
      <c r="D1501" s="75" t="s">
        <v>299</v>
      </c>
      <c r="E1501" s="75" t="str">
        <f>"০১৭৪৪৯৬১১৫২"</f>
        <v>০১৭৪৪৯৬১১৫২</v>
      </c>
      <c r="F1501" s="22" t="str">
        <f>"8119457817648"</f>
        <v>8119457817648</v>
      </c>
      <c r="G1501" s="75" t="str">
        <f>"১০"</f>
        <v>১০</v>
      </c>
      <c r="H1501" s="75" t="s">
        <v>327</v>
      </c>
      <c r="I1501" s="75" t="s">
        <v>327</v>
      </c>
      <c r="J1501" s="4"/>
    </row>
    <row r="1502" spans="1:10" x14ac:dyDescent="0.25">
      <c r="A1502" s="39">
        <v>1501</v>
      </c>
      <c r="B1502" s="3" t="s">
        <v>2874</v>
      </c>
      <c r="C1502" s="75" t="s">
        <v>2875</v>
      </c>
      <c r="D1502" s="75" t="s">
        <v>299</v>
      </c>
      <c r="E1502" s="75" t="str">
        <f>"০১৭৬১৮৬০২৫৪"</f>
        <v>০১৭৬১৮৬০২৫৪</v>
      </c>
      <c r="F1502" s="22" t="str">
        <f>"8119457817736"</f>
        <v>8119457817736</v>
      </c>
      <c r="G1502" s="75" t="str">
        <f>"৯"</f>
        <v>৯</v>
      </c>
      <c r="H1502" s="75" t="s">
        <v>328</v>
      </c>
      <c r="I1502" s="75" t="s">
        <v>328</v>
      </c>
      <c r="J1502" s="4"/>
    </row>
    <row r="1503" spans="1:10" x14ac:dyDescent="0.25">
      <c r="A1503" s="39">
        <v>1502</v>
      </c>
      <c r="B1503" s="3" t="s">
        <v>2261</v>
      </c>
      <c r="C1503" s="75" t="s">
        <v>2321</v>
      </c>
      <c r="D1503" s="75" t="s">
        <v>299</v>
      </c>
      <c r="E1503" s="75" t="str">
        <f>"০১৮২৪১৯৫১৮২"</f>
        <v>০১৮২৪১৯৫১৮২</v>
      </c>
      <c r="F1503" s="22" t="str">
        <f>"8119457814864"</f>
        <v>8119457814864</v>
      </c>
      <c r="G1503" s="75" t="str">
        <f>"৮"</f>
        <v>৮</v>
      </c>
      <c r="H1503" s="75" t="s">
        <v>329</v>
      </c>
      <c r="I1503" s="75" t="s">
        <v>329</v>
      </c>
      <c r="J1503" s="4"/>
    </row>
    <row r="1504" spans="1:10" x14ac:dyDescent="0.25">
      <c r="A1504" s="39">
        <v>1503</v>
      </c>
      <c r="B1504" s="3" t="s">
        <v>1571</v>
      </c>
      <c r="C1504" s="75" t="s">
        <v>2876</v>
      </c>
      <c r="D1504" s="75" t="s">
        <v>299</v>
      </c>
      <c r="E1504" s="75" t="str">
        <f>"০১৮৬৯১০৮৫২০"</f>
        <v>০১৮৬৯১০৮৫২০</v>
      </c>
      <c r="F1504" s="22" t="str">
        <f>"8119457817644"</f>
        <v>8119457817644</v>
      </c>
      <c r="G1504" s="75" t="str">
        <f>"৭"</f>
        <v>৭</v>
      </c>
      <c r="H1504" s="75" t="s">
        <v>330</v>
      </c>
      <c r="I1504" s="75" t="s">
        <v>330</v>
      </c>
      <c r="J1504" s="4"/>
    </row>
    <row r="1505" spans="1:10" x14ac:dyDescent="0.25">
      <c r="A1505" s="39">
        <v>1504</v>
      </c>
      <c r="B1505" s="3" t="s">
        <v>1659</v>
      </c>
      <c r="C1505" s="75" t="s">
        <v>2871</v>
      </c>
      <c r="D1505" s="75" t="s">
        <v>299</v>
      </c>
      <c r="E1505" s="75" t="str">
        <f>"০১৭৮৬৮৭১৭০২"</f>
        <v>০১৭৮৬৮৭১৭০২</v>
      </c>
      <c r="F1505" s="22" t="str">
        <f>"8119457817649"</f>
        <v>8119457817649</v>
      </c>
      <c r="G1505" s="75" t="str">
        <f>"৬"</f>
        <v>৬</v>
      </c>
      <c r="H1505" s="75" t="s">
        <v>319</v>
      </c>
      <c r="I1505" s="75" t="s">
        <v>319</v>
      </c>
      <c r="J1505" s="4"/>
    </row>
    <row r="1506" spans="1:10" x14ac:dyDescent="0.25">
      <c r="A1506" s="39">
        <v>1505</v>
      </c>
      <c r="B1506" s="11" t="s">
        <v>174</v>
      </c>
      <c r="C1506" s="75" t="s">
        <v>293</v>
      </c>
      <c r="D1506" s="75" t="s">
        <v>299</v>
      </c>
      <c r="E1506" s="75" t="str">
        <f>"০১৮২৩৬৪৬৪১১"</f>
        <v>০১৮২৩৬৪৬৪১১</v>
      </c>
      <c r="F1506" s="22" t="str">
        <f>"8119457817682"</f>
        <v>8119457817682</v>
      </c>
      <c r="G1506" s="75" t="str">
        <f>"৫"</f>
        <v>৫</v>
      </c>
      <c r="H1506" s="75" t="s">
        <v>317</v>
      </c>
      <c r="I1506" s="75" t="s">
        <v>317</v>
      </c>
      <c r="J1506" s="4"/>
    </row>
    <row r="1507" spans="1:10" x14ac:dyDescent="0.25">
      <c r="A1507" s="39">
        <v>1506</v>
      </c>
      <c r="B1507" s="3" t="s">
        <v>1791</v>
      </c>
      <c r="C1507" s="75" t="s">
        <v>294</v>
      </c>
      <c r="D1507" s="75" t="s">
        <v>299</v>
      </c>
      <c r="E1507" s="75" t="str">
        <f>"০১৭১৬৭১৫১৫"</f>
        <v>০১৭১৬৭১৫১৫</v>
      </c>
      <c r="F1507" s="22" t="str">
        <f>"8119457817680"</f>
        <v>8119457817680</v>
      </c>
      <c r="G1507" s="75" t="str">
        <f>"৪"</f>
        <v>৪</v>
      </c>
      <c r="H1507" s="75" t="s">
        <v>323</v>
      </c>
      <c r="I1507" s="75" t="s">
        <v>323</v>
      </c>
      <c r="J1507" s="4"/>
    </row>
    <row r="1508" spans="1:10" x14ac:dyDescent="0.25">
      <c r="A1508" s="39">
        <v>1507</v>
      </c>
      <c r="B1508" s="11" t="s">
        <v>2877</v>
      </c>
      <c r="C1508" s="75" t="s">
        <v>295</v>
      </c>
      <c r="D1508" s="75" t="s">
        <v>299</v>
      </c>
      <c r="E1508" s="75" t="str">
        <f>"০১৭৫৮২১৪৫৮৯"</f>
        <v>০১৭৫৮২১৪৫৮৯</v>
      </c>
      <c r="F1508" s="22" t="str">
        <f>"8119457815781"</f>
        <v>8119457815781</v>
      </c>
      <c r="G1508" s="75" t="str">
        <f>"৩"</f>
        <v>৩</v>
      </c>
      <c r="H1508" s="75" t="s">
        <v>326</v>
      </c>
      <c r="I1508" s="75" t="s">
        <v>326</v>
      </c>
      <c r="J1508" s="4"/>
    </row>
    <row r="1509" spans="1:10" x14ac:dyDescent="0.25">
      <c r="A1509" s="39">
        <v>1508</v>
      </c>
      <c r="B1509" s="3" t="s">
        <v>2878</v>
      </c>
      <c r="C1509" s="75" t="s">
        <v>2879</v>
      </c>
      <c r="D1509" s="75" t="s">
        <v>299</v>
      </c>
      <c r="E1509" s="75" t="str">
        <f>"০১৭৪৭১০৭৭৯০"</f>
        <v>০১৭৪৭১০৭৭৯০</v>
      </c>
      <c r="F1509" s="22" t="str">
        <f>"8119457817614"</f>
        <v>8119457817614</v>
      </c>
      <c r="G1509" s="75" t="str">
        <f>"২"</f>
        <v>২</v>
      </c>
      <c r="H1509" s="75" t="s">
        <v>331</v>
      </c>
      <c r="I1509" s="75" t="s">
        <v>331</v>
      </c>
      <c r="J1509" s="4"/>
    </row>
    <row r="1510" spans="1:10" x14ac:dyDescent="0.25">
      <c r="A1510" s="39">
        <v>1509</v>
      </c>
      <c r="B1510" s="3" t="s">
        <v>2880</v>
      </c>
      <c r="C1510" s="75" t="s">
        <v>1998</v>
      </c>
      <c r="D1510" s="75" t="s">
        <v>299</v>
      </c>
      <c r="E1510" s="75" t="str">
        <f>"০১৭৭২৮৫৫৮৬০"</f>
        <v>০১৭৭২৮৫৫৮৬০</v>
      </c>
      <c r="F1510" s="22" t="str">
        <f>"8119457817169"</f>
        <v>8119457817169</v>
      </c>
      <c r="G1510" s="75" t="str">
        <f>"১"</f>
        <v>১</v>
      </c>
      <c r="H1510" s="75" t="s">
        <v>329</v>
      </c>
      <c r="I1510" s="75" t="s">
        <v>329</v>
      </c>
      <c r="J1510" s="4"/>
    </row>
    <row r="1511" spans="1:10" x14ac:dyDescent="0.25">
      <c r="A1511" s="39">
        <v>1510</v>
      </c>
      <c r="B1511" s="3" t="s">
        <v>343</v>
      </c>
      <c r="C1511" s="75" t="s">
        <v>344</v>
      </c>
      <c r="D1511" s="75" t="s">
        <v>345</v>
      </c>
      <c r="E1511" s="75" t="str">
        <f>"০১৭৩২-৪০৪১১১"</f>
        <v>০১৭৩২-৪০৪১১১</v>
      </c>
      <c r="F1511" s="22" t="str">
        <f>"8119457000231"</f>
        <v>8119457000231</v>
      </c>
      <c r="G1511" s="75" t="str">
        <f>"১৩০৩০৬১৮০৪৫৯"</f>
        <v>১৩০৩০৬১৮০৪৫৯</v>
      </c>
      <c r="H1511" s="75" t="s">
        <v>346</v>
      </c>
      <c r="I1511" s="75" t="s">
        <v>346</v>
      </c>
      <c r="J1511" s="4"/>
    </row>
    <row r="1512" spans="1:10" x14ac:dyDescent="0.25">
      <c r="A1512" s="39">
        <v>1511</v>
      </c>
      <c r="B1512" s="3" t="s">
        <v>347</v>
      </c>
      <c r="C1512" s="75" t="s">
        <v>348</v>
      </c>
      <c r="D1512" s="75" t="s">
        <v>345</v>
      </c>
      <c r="E1512" s="75" t="str">
        <f>"০১৭৮৮-০০৪৬২১"</f>
        <v>০১৭৮৮-০০৪৬২১</v>
      </c>
      <c r="F1512" s="22" t="str">
        <f>"8119457000248"</f>
        <v>8119457000248</v>
      </c>
      <c r="G1512" s="75" t="str">
        <f>"১৩০৩০৬১৮০৪৫৮"</f>
        <v>১৩০৩০৬১৮০৪৫৮</v>
      </c>
      <c r="H1512" s="75" t="s">
        <v>349</v>
      </c>
      <c r="I1512" s="75" t="s">
        <v>349</v>
      </c>
      <c r="J1512" s="4"/>
    </row>
    <row r="1513" spans="1:10" x14ac:dyDescent="0.25">
      <c r="A1513" s="39">
        <v>1512</v>
      </c>
      <c r="B1513" s="3" t="s">
        <v>2881</v>
      </c>
      <c r="C1513" s="75" t="s">
        <v>350</v>
      </c>
      <c r="D1513" s="75" t="s">
        <v>345</v>
      </c>
      <c r="E1513" s="75" t="str">
        <f>"০১৭৪৬-৭৩৭৯২৭"</f>
        <v>০১৭৪৬-৭৩৭৯২৭</v>
      </c>
      <c r="F1513" s="22" t="str">
        <f>"8119457774439"</f>
        <v>8119457774439</v>
      </c>
      <c r="G1513" s="75" t="str">
        <f>"১৩০৩০৬১৮০৪৫৭"</f>
        <v>১৩০৩০৬১৮০৪৫৭</v>
      </c>
      <c r="H1513" s="75" t="s">
        <v>346</v>
      </c>
      <c r="I1513" s="75" t="s">
        <v>346</v>
      </c>
      <c r="J1513" s="4"/>
    </row>
    <row r="1514" spans="1:10" x14ac:dyDescent="0.25">
      <c r="A1514" s="39">
        <v>1513</v>
      </c>
      <c r="B1514" s="3" t="s">
        <v>2882</v>
      </c>
      <c r="C1514" s="75" t="s">
        <v>351</v>
      </c>
      <c r="D1514" s="75" t="s">
        <v>345</v>
      </c>
      <c r="E1514" s="75" t="str">
        <f>"০১৭৪৪-৮৮১৬৭৯"</f>
        <v>০১৭৪৪-৮৮১৬৭৯</v>
      </c>
      <c r="F1514" s="22" t="str">
        <f>"8119457774652"</f>
        <v>8119457774652</v>
      </c>
      <c r="G1514" s="75" t="str">
        <f>"১৩০৩০৬১৮০৪৫৬"</f>
        <v>১৩০৩০৬১৮০৪৫৬</v>
      </c>
      <c r="H1514" s="75" t="s">
        <v>322</v>
      </c>
      <c r="I1514" s="75" t="s">
        <v>322</v>
      </c>
      <c r="J1514" s="4"/>
    </row>
    <row r="1515" spans="1:10" x14ac:dyDescent="0.25">
      <c r="A1515" s="39">
        <v>1514</v>
      </c>
      <c r="B1515" s="3" t="s">
        <v>2883</v>
      </c>
      <c r="C1515" s="75" t="s">
        <v>352</v>
      </c>
      <c r="D1515" s="75" t="s">
        <v>345</v>
      </c>
      <c r="E1515" s="75" t="str">
        <f>"০১৭৫৩-৯৮৬৯৪২"</f>
        <v>০১৭৫৩-৯৮৬৯৪২</v>
      </c>
      <c r="F1515" s="22" t="str">
        <f>"8119457774533"</f>
        <v>8119457774533</v>
      </c>
      <c r="G1515" s="75" t="str">
        <f>"১৩০৩০৬১৮০৪৫৫"</f>
        <v>১৩০৩০৬১৮০৪৫৫</v>
      </c>
      <c r="H1515" s="75" t="s">
        <v>322</v>
      </c>
      <c r="I1515" s="75" t="s">
        <v>322</v>
      </c>
      <c r="J1515" s="4"/>
    </row>
    <row r="1516" spans="1:10" x14ac:dyDescent="0.25">
      <c r="A1516" s="39">
        <v>1515</v>
      </c>
      <c r="B1516" s="3" t="s">
        <v>353</v>
      </c>
      <c r="C1516" s="75" t="s">
        <v>354</v>
      </c>
      <c r="D1516" s="75" t="s">
        <v>345</v>
      </c>
      <c r="E1516" s="75" t="str">
        <f>"০১৭৩৯-৩৮০০৫৬"</f>
        <v>০১৭৩৯-৩৮০০৫৬</v>
      </c>
      <c r="F1516" s="22" t="str">
        <f>"8119457774444"</f>
        <v>8119457774444</v>
      </c>
      <c r="G1516" s="75" t="str">
        <f>"১৩০৩০৬১৮০৪৫৪"</f>
        <v>১৩০৩০৬১৮০৪৫৪</v>
      </c>
      <c r="H1516" s="75" t="s">
        <v>346</v>
      </c>
      <c r="I1516" s="75" t="s">
        <v>346</v>
      </c>
      <c r="J1516" s="4"/>
    </row>
    <row r="1517" spans="1:10" x14ac:dyDescent="0.25">
      <c r="A1517" s="39">
        <v>1516</v>
      </c>
      <c r="B1517" s="3" t="s">
        <v>1679</v>
      </c>
      <c r="C1517" s="75" t="s">
        <v>355</v>
      </c>
      <c r="D1517" s="75" t="s">
        <v>356</v>
      </c>
      <c r="E1517" s="75" t="str">
        <f>"০১৭২৪-২৯৫৫৮৭"</f>
        <v>০১৭২৪-২৯৫৫৮৭</v>
      </c>
      <c r="F1517" s="22" t="str">
        <f>"81194577715337"</f>
        <v>81194577715337</v>
      </c>
      <c r="G1517" s="75" t="str">
        <f>"১৩০৩০৬১৮০৪৫৩"</f>
        <v>১৩০৩০৬১৮০৪৫৩</v>
      </c>
      <c r="H1517" s="75" t="s">
        <v>357</v>
      </c>
      <c r="I1517" s="75" t="s">
        <v>357</v>
      </c>
      <c r="J1517" s="4"/>
    </row>
    <row r="1518" spans="1:10" x14ac:dyDescent="0.25">
      <c r="A1518" s="39">
        <v>1517</v>
      </c>
      <c r="B1518" s="3" t="s">
        <v>358</v>
      </c>
      <c r="C1518" s="75" t="s">
        <v>359</v>
      </c>
      <c r="D1518" s="75" t="s">
        <v>345</v>
      </c>
      <c r="E1518" s="75" t="str">
        <f>"০১৭৩৯-৫৬৮৮১৫"</f>
        <v>০১৭৩৯-৫৬৮৮১৫</v>
      </c>
      <c r="F1518" s="22" t="str">
        <f>"8119457774456"</f>
        <v>8119457774456</v>
      </c>
      <c r="G1518" s="75" t="str">
        <f>"১৩০৩০৬১৮০৪৫২"</f>
        <v>১৩০৩০৬১৮০৪৫২</v>
      </c>
      <c r="H1518" s="75" t="s">
        <v>322</v>
      </c>
      <c r="I1518" s="75" t="s">
        <v>322</v>
      </c>
      <c r="J1518" s="4"/>
    </row>
    <row r="1519" spans="1:10" x14ac:dyDescent="0.25">
      <c r="A1519" s="39">
        <v>1518</v>
      </c>
      <c r="B1519" s="3" t="s">
        <v>360</v>
      </c>
      <c r="C1519" s="75" t="s">
        <v>361</v>
      </c>
      <c r="D1519" s="75" t="s">
        <v>345</v>
      </c>
      <c r="E1519" s="75" t="str">
        <f>"০১৭৪৭-৭৮৯৮৩৩"</f>
        <v>০১৭৪৭-৭৮৯৮৩৩</v>
      </c>
      <c r="F1519" s="22" t="str">
        <f>"8119457774480"</f>
        <v>8119457774480</v>
      </c>
      <c r="G1519" s="75" t="str">
        <f>"১৩০৩০৬১৮০৪৫১"</f>
        <v>১৩০৩০৬১৮০৪৫১</v>
      </c>
      <c r="H1519" s="75" t="s">
        <v>362</v>
      </c>
      <c r="I1519" s="75" t="s">
        <v>362</v>
      </c>
      <c r="J1519" s="4"/>
    </row>
    <row r="1520" spans="1:10" x14ac:dyDescent="0.25">
      <c r="A1520" s="39">
        <v>1519</v>
      </c>
      <c r="B1520" s="3" t="s">
        <v>2884</v>
      </c>
      <c r="C1520" s="75" t="s">
        <v>363</v>
      </c>
      <c r="D1520" s="75" t="s">
        <v>345</v>
      </c>
      <c r="E1520" s="75" t="str">
        <f>"০১৭৪৩-৮৭০২৭১"</f>
        <v>০১৭৪৩-৮৭০২৭১</v>
      </c>
      <c r="F1520" s="22" t="str">
        <f>"8119457774488"</f>
        <v>8119457774488</v>
      </c>
      <c r="G1520" s="75" t="str">
        <f>"১৩০৩০৬১৮০৪৫০"</f>
        <v>১৩০৩০৬১৮০৪৫০</v>
      </c>
      <c r="H1520" s="75" t="s">
        <v>364</v>
      </c>
      <c r="I1520" s="75" t="s">
        <v>364</v>
      </c>
      <c r="J1520" s="4"/>
    </row>
    <row r="1521" spans="1:10" x14ac:dyDescent="0.25">
      <c r="A1521" s="39">
        <v>1520</v>
      </c>
      <c r="B1521" s="3" t="s">
        <v>365</v>
      </c>
      <c r="C1521" s="75" t="s">
        <v>366</v>
      </c>
      <c r="D1521" s="75" t="s">
        <v>345</v>
      </c>
      <c r="E1521" s="75" t="str">
        <f t="shared" ref="E1521:E1535" si="26">"০"</f>
        <v>০</v>
      </c>
      <c r="F1521" s="22" t="str">
        <f>"8119457774482"</f>
        <v>8119457774482</v>
      </c>
      <c r="G1521" s="75" t="str">
        <f>"১৩০৩০৬১৮০৪৪৯"</f>
        <v>১৩০৩০৬১৮০৪৪৯</v>
      </c>
      <c r="H1521" s="75" t="s">
        <v>322</v>
      </c>
      <c r="I1521" s="75" t="s">
        <v>322</v>
      </c>
      <c r="J1521" s="4"/>
    </row>
    <row r="1522" spans="1:10" x14ac:dyDescent="0.25">
      <c r="A1522" s="39">
        <v>1521</v>
      </c>
      <c r="B1522" s="3" t="s">
        <v>367</v>
      </c>
      <c r="C1522" s="75" t="s">
        <v>368</v>
      </c>
      <c r="D1522" s="75" t="s">
        <v>345</v>
      </c>
      <c r="E1522" s="75" t="str">
        <f t="shared" si="26"/>
        <v>০</v>
      </c>
      <c r="F1522" s="22" t="str">
        <f>"8119457774650"</f>
        <v>8119457774650</v>
      </c>
      <c r="G1522" s="75" t="str">
        <f>"১৩০৩০৬১৮০৪৪৮"</f>
        <v>১৩০৩০৬১৮০৪৪৮</v>
      </c>
      <c r="H1522" s="75" t="s">
        <v>349</v>
      </c>
      <c r="I1522" s="75" t="s">
        <v>349</v>
      </c>
      <c r="J1522" s="4"/>
    </row>
    <row r="1523" spans="1:10" x14ac:dyDescent="0.25">
      <c r="A1523" s="39">
        <v>1522</v>
      </c>
      <c r="B1523" s="3" t="s">
        <v>369</v>
      </c>
      <c r="C1523" s="75" t="s">
        <v>370</v>
      </c>
      <c r="D1523" s="75" t="s">
        <v>345</v>
      </c>
      <c r="E1523" s="75" t="str">
        <f t="shared" si="26"/>
        <v>০</v>
      </c>
      <c r="F1523" s="22" t="str">
        <f>"8119457777461"</f>
        <v>8119457777461</v>
      </c>
      <c r="G1523" s="75" t="str">
        <f>"১৩০৩০৬১৮০৪৪৭"</f>
        <v>১৩০৩০৬১৮০৪৪৭</v>
      </c>
      <c r="H1523" s="75" t="s">
        <v>371</v>
      </c>
      <c r="I1523" s="75" t="s">
        <v>371</v>
      </c>
      <c r="J1523" s="4"/>
    </row>
    <row r="1524" spans="1:10" x14ac:dyDescent="0.25">
      <c r="A1524" s="39">
        <v>1523</v>
      </c>
      <c r="B1524" s="3" t="s">
        <v>2885</v>
      </c>
      <c r="C1524" s="75" t="s">
        <v>372</v>
      </c>
      <c r="D1524" s="75" t="s">
        <v>345</v>
      </c>
      <c r="E1524" s="75" t="str">
        <f t="shared" si="26"/>
        <v>০</v>
      </c>
      <c r="F1524" s="22" t="str">
        <f>"8119457774463"</f>
        <v>8119457774463</v>
      </c>
      <c r="G1524" s="75" t="str">
        <f>"১৩০৩০৬১৮০৪৪৬"</f>
        <v>১৩০৩০৬১৮০৪৪৬</v>
      </c>
      <c r="H1524" s="75" t="s">
        <v>323</v>
      </c>
      <c r="I1524" s="75" t="s">
        <v>323</v>
      </c>
      <c r="J1524" s="4"/>
    </row>
    <row r="1525" spans="1:10" x14ac:dyDescent="0.25">
      <c r="A1525" s="39">
        <v>1524</v>
      </c>
      <c r="B1525" s="3" t="s">
        <v>373</v>
      </c>
      <c r="C1525" s="75" t="s">
        <v>374</v>
      </c>
      <c r="D1525" s="75" t="s">
        <v>375</v>
      </c>
      <c r="E1525" s="75" t="str">
        <f t="shared" si="26"/>
        <v>০</v>
      </c>
      <c r="F1525" s="22" t="str">
        <f>"8119457773328"</f>
        <v>8119457773328</v>
      </c>
      <c r="G1525" s="75" t="str">
        <f>"১৩০৩০৬১৮০১০৮"</f>
        <v>১৩০৩০৬১৮০১০৮</v>
      </c>
      <c r="H1525" s="75" t="s">
        <v>376</v>
      </c>
      <c r="I1525" s="75" t="s">
        <v>376</v>
      </c>
      <c r="J1525" s="4"/>
    </row>
    <row r="1526" spans="1:10" x14ac:dyDescent="0.25">
      <c r="A1526" s="39">
        <v>1525</v>
      </c>
      <c r="B1526" s="3" t="s">
        <v>377</v>
      </c>
      <c r="C1526" s="75" t="s">
        <v>378</v>
      </c>
      <c r="D1526" s="75" t="s">
        <v>375</v>
      </c>
      <c r="E1526" s="75" t="str">
        <f t="shared" si="26"/>
        <v>০</v>
      </c>
      <c r="F1526" s="22" t="str">
        <f>"8119457773170"</f>
        <v>8119457773170</v>
      </c>
      <c r="G1526" s="75" t="str">
        <f>"১৩০৩০৬১৮০১০৭"</f>
        <v>১৩০৩০৬১৮০১০৭</v>
      </c>
      <c r="H1526" s="75" t="s">
        <v>371</v>
      </c>
      <c r="I1526" s="75" t="s">
        <v>371</v>
      </c>
      <c r="J1526" s="4"/>
    </row>
    <row r="1527" spans="1:10" x14ac:dyDescent="0.25">
      <c r="A1527" s="39">
        <v>1526</v>
      </c>
      <c r="B1527" s="3" t="s">
        <v>379</v>
      </c>
      <c r="C1527" s="75" t="s">
        <v>380</v>
      </c>
      <c r="D1527" s="75" t="s">
        <v>375</v>
      </c>
      <c r="E1527" s="75" t="str">
        <f t="shared" si="26"/>
        <v>০</v>
      </c>
      <c r="F1527" s="22" t="str">
        <f>"8119457774137"</f>
        <v>8119457774137</v>
      </c>
      <c r="G1527" s="75" t="str">
        <f>"১৩০৩০৬১৮০১০৬"</f>
        <v>১৩০৩০৬১৮০১০৬</v>
      </c>
      <c r="H1527" s="75" t="s">
        <v>362</v>
      </c>
      <c r="I1527" s="75" t="s">
        <v>362</v>
      </c>
      <c r="J1527" s="4"/>
    </row>
    <row r="1528" spans="1:10" x14ac:dyDescent="0.25">
      <c r="A1528" s="39">
        <v>1527</v>
      </c>
      <c r="B1528" s="3" t="s">
        <v>381</v>
      </c>
      <c r="C1528" s="75" t="s">
        <v>382</v>
      </c>
      <c r="D1528" s="75" t="s">
        <v>375</v>
      </c>
      <c r="E1528" s="75" t="str">
        <f t="shared" si="26"/>
        <v>০</v>
      </c>
      <c r="F1528" s="22" t="str">
        <f>"8119457726931"</f>
        <v>8119457726931</v>
      </c>
      <c r="G1528" s="75" t="str">
        <f>"১৩০৩০৬১৮০১০৫"</f>
        <v>১৩০৩০৬১৮০১০৫</v>
      </c>
      <c r="H1528" s="75" t="s">
        <v>376</v>
      </c>
      <c r="I1528" s="75" t="s">
        <v>376</v>
      </c>
      <c r="J1528" s="4"/>
    </row>
    <row r="1529" spans="1:10" x14ac:dyDescent="0.25">
      <c r="A1529" s="39">
        <v>1528</v>
      </c>
      <c r="B1529" s="3" t="s">
        <v>383</v>
      </c>
      <c r="C1529" s="75" t="s">
        <v>384</v>
      </c>
      <c r="D1529" s="75" t="s">
        <v>375</v>
      </c>
      <c r="E1529" s="75" t="str">
        <f t="shared" si="26"/>
        <v>০</v>
      </c>
      <c r="F1529" s="22" t="str">
        <f>"8119457773294"</f>
        <v>8119457773294</v>
      </c>
      <c r="G1529" s="75" t="str">
        <f>"১৩০৩০৬১৮০১০৪"</f>
        <v>১৩০৩০৬১৮০১০৪</v>
      </c>
      <c r="H1529" s="75" t="s">
        <v>385</v>
      </c>
      <c r="I1529" s="75" t="s">
        <v>385</v>
      </c>
      <c r="J1529" s="4"/>
    </row>
    <row r="1530" spans="1:10" x14ac:dyDescent="0.25">
      <c r="A1530" s="39">
        <v>1529</v>
      </c>
      <c r="B1530" s="3" t="s">
        <v>386</v>
      </c>
      <c r="C1530" s="75" t="s">
        <v>387</v>
      </c>
      <c r="D1530" s="75" t="s">
        <v>375</v>
      </c>
      <c r="E1530" s="75" t="str">
        <f t="shared" si="26"/>
        <v>০</v>
      </c>
      <c r="F1530" s="22" t="str">
        <f>"8119457773756"</f>
        <v>8119457773756</v>
      </c>
      <c r="G1530" s="75" t="str">
        <f>"১৩০৩০৬১৮০১০৩"</f>
        <v>১৩০৩০৬১৮০১০৩</v>
      </c>
      <c r="H1530" s="75" t="s">
        <v>371</v>
      </c>
      <c r="I1530" s="75" t="s">
        <v>371</v>
      </c>
      <c r="J1530" s="4"/>
    </row>
    <row r="1531" spans="1:10" x14ac:dyDescent="0.25">
      <c r="A1531" s="39">
        <v>1530</v>
      </c>
      <c r="B1531" s="3" t="s">
        <v>1641</v>
      </c>
      <c r="C1531" s="75" t="s">
        <v>388</v>
      </c>
      <c r="D1531" s="75" t="s">
        <v>375</v>
      </c>
      <c r="E1531" s="75" t="str">
        <f t="shared" si="26"/>
        <v>০</v>
      </c>
      <c r="F1531" s="22" t="str">
        <f>"8119457774042"</f>
        <v>8119457774042</v>
      </c>
      <c r="G1531" s="75" t="str">
        <f>"১৩০৩০৬১৮০১০২"</f>
        <v>১৩০৩০৬১৮০১০২</v>
      </c>
      <c r="H1531" s="75" t="s">
        <v>371</v>
      </c>
      <c r="I1531" s="75" t="s">
        <v>371</v>
      </c>
      <c r="J1531" s="4"/>
    </row>
    <row r="1532" spans="1:10" x14ac:dyDescent="0.25">
      <c r="A1532" s="39">
        <v>1531</v>
      </c>
      <c r="B1532" s="3" t="s">
        <v>2886</v>
      </c>
      <c r="C1532" s="75" t="s">
        <v>389</v>
      </c>
      <c r="D1532" s="75" t="s">
        <v>375</v>
      </c>
      <c r="E1532" s="75" t="str">
        <f t="shared" si="26"/>
        <v>০</v>
      </c>
      <c r="F1532" s="22" t="str">
        <f>"8119457774081"</f>
        <v>8119457774081</v>
      </c>
      <c r="G1532" s="75" t="str">
        <f>"১৩০৩০৬১৮০১০১"</f>
        <v>১৩০৩০৬১৮০১০১</v>
      </c>
      <c r="H1532" s="75" t="s">
        <v>346</v>
      </c>
      <c r="I1532" s="75" t="s">
        <v>346</v>
      </c>
      <c r="J1532" s="4"/>
    </row>
    <row r="1533" spans="1:10" x14ac:dyDescent="0.25">
      <c r="A1533" s="39">
        <v>1532</v>
      </c>
      <c r="B1533" s="3" t="s">
        <v>2205</v>
      </c>
      <c r="C1533" s="75" t="s">
        <v>2887</v>
      </c>
      <c r="D1533" s="75" t="s">
        <v>375</v>
      </c>
      <c r="E1533" s="75" t="str">
        <f t="shared" si="26"/>
        <v>০</v>
      </c>
      <c r="F1533" s="22" t="str">
        <f>"8119457"</f>
        <v>8119457</v>
      </c>
      <c r="G1533" s="75" t="str">
        <f>"১৩০৩০৬১৮০১০০"</f>
        <v>১৩০৩০৬১৮০১০০</v>
      </c>
      <c r="H1533" s="75" t="s">
        <v>322</v>
      </c>
      <c r="I1533" s="75" t="s">
        <v>322</v>
      </c>
      <c r="J1533" s="4"/>
    </row>
    <row r="1534" spans="1:10" x14ac:dyDescent="0.25">
      <c r="A1534" s="39">
        <v>1533</v>
      </c>
      <c r="B1534" s="3" t="s">
        <v>2888</v>
      </c>
      <c r="C1534" s="75" t="s">
        <v>2889</v>
      </c>
      <c r="D1534" s="75" t="s">
        <v>375</v>
      </c>
      <c r="E1534" s="75" t="str">
        <f t="shared" si="26"/>
        <v>০</v>
      </c>
      <c r="F1534" s="22" t="str">
        <f>"8119457773148"</f>
        <v>8119457773148</v>
      </c>
      <c r="G1534" s="75" t="str">
        <f>"১৩০৩০৬১৮০০৯৯"</f>
        <v>১৩০৩০৬১৮০০৯৯</v>
      </c>
      <c r="H1534" s="75" t="s">
        <v>322</v>
      </c>
      <c r="I1534" s="75" t="s">
        <v>322</v>
      </c>
      <c r="J1534" s="4"/>
    </row>
    <row r="1535" spans="1:10" x14ac:dyDescent="0.25">
      <c r="A1535" s="39">
        <v>1534</v>
      </c>
      <c r="B1535" s="3" t="s">
        <v>1555</v>
      </c>
      <c r="C1535" s="75" t="s">
        <v>2890</v>
      </c>
      <c r="D1535" s="75" t="s">
        <v>375</v>
      </c>
      <c r="E1535" s="75" t="str">
        <f t="shared" si="26"/>
        <v>০</v>
      </c>
      <c r="F1535" s="22" t="str">
        <f>"8119457774191"</f>
        <v>8119457774191</v>
      </c>
      <c r="G1535" s="75" t="str">
        <f>"১৩০৩০৬১৮০০৯৮"</f>
        <v>১৩০৩০৬১৮০০৯৮</v>
      </c>
      <c r="H1535" s="75" t="s">
        <v>376</v>
      </c>
      <c r="I1535" s="75" t="s">
        <v>376</v>
      </c>
      <c r="J1535" s="4"/>
    </row>
    <row r="1536" spans="1:10" x14ac:dyDescent="0.25">
      <c r="A1536" s="39">
        <v>1535</v>
      </c>
      <c r="B1536" s="3" t="s">
        <v>2891</v>
      </c>
      <c r="C1536" s="75" t="s">
        <v>390</v>
      </c>
      <c r="D1536" s="75" t="s">
        <v>375</v>
      </c>
      <c r="E1536" s="75" t="str">
        <f>"০১৭৪৯-১৫৩৫৩০"</f>
        <v>০১৭৪৯-১৫৩৫৩০</v>
      </c>
      <c r="F1536" s="22" t="str">
        <f>"8119457774095"</f>
        <v>8119457774095</v>
      </c>
      <c r="G1536" s="75" t="str">
        <f>"১৩০৩০৬১৮০০৯৭"</f>
        <v>১৩০৩০৬১৮০০৯৭</v>
      </c>
      <c r="H1536" s="75" t="s">
        <v>371</v>
      </c>
      <c r="I1536" s="75" t="s">
        <v>371</v>
      </c>
      <c r="J1536" s="4"/>
    </row>
    <row r="1537" spans="1:10" x14ac:dyDescent="0.25">
      <c r="A1537" s="39">
        <v>1536</v>
      </c>
      <c r="B1537" s="3" t="s">
        <v>2892</v>
      </c>
      <c r="C1537" s="75" t="s">
        <v>391</v>
      </c>
      <c r="D1537" s="75" t="s">
        <v>375</v>
      </c>
      <c r="E1537" s="75" t="str">
        <f t="shared" ref="E1537:E1543" si="27">"০"</f>
        <v>০</v>
      </c>
      <c r="F1537" s="22" t="str">
        <f>"8119457773339"</f>
        <v>8119457773339</v>
      </c>
      <c r="G1537" s="75" t="str">
        <f>"১৩০৩০৬১৮০০৯৬"</f>
        <v>১৩০৩০৬১৮০০৯৬</v>
      </c>
      <c r="H1537" s="75" t="s">
        <v>392</v>
      </c>
      <c r="I1537" s="75" t="s">
        <v>392</v>
      </c>
      <c r="J1537" s="4"/>
    </row>
    <row r="1538" spans="1:10" x14ac:dyDescent="0.25">
      <c r="A1538" s="39">
        <v>1537</v>
      </c>
      <c r="B1538" s="3" t="s">
        <v>2893</v>
      </c>
      <c r="C1538" s="75" t="s">
        <v>2894</v>
      </c>
      <c r="D1538" s="75" t="s">
        <v>375</v>
      </c>
      <c r="E1538" s="75" t="str">
        <f t="shared" si="27"/>
        <v>০</v>
      </c>
      <c r="F1538" s="22" t="str">
        <f>"8119457774035"</f>
        <v>8119457774035</v>
      </c>
      <c r="G1538" s="75" t="str">
        <f>"১৩০৩০৬১৮০০৯৫"</f>
        <v>১৩০৩০৬১৮০০৯৫</v>
      </c>
      <c r="H1538" s="75" t="s">
        <v>393</v>
      </c>
      <c r="I1538" s="75" t="s">
        <v>393</v>
      </c>
      <c r="J1538" s="4"/>
    </row>
    <row r="1539" spans="1:10" x14ac:dyDescent="0.25">
      <c r="A1539" s="39">
        <v>1538</v>
      </c>
      <c r="B1539" s="3" t="s">
        <v>2895</v>
      </c>
      <c r="C1539" s="75" t="s">
        <v>394</v>
      </c>
      <c r="D1539" s="75" t="s">
        <v>375</v>
      </c>
      <c r="E1539" s="75" t="str">
        <f t="shared" si="27"/>
        <v>০</v>
      </c>
      <c r="F1539" s="22" t="str">
        <f>"8119457773148"</f>
        <v>8119457773148</v>
      </c>
      <c r="G1539" s="75" t="str">
        <f>"১৩০৩০৬১৮০০৯৪"</f>
        <v>১৩০৩০৬১৮০০৯৪</v>
      </c>
      <c r="H1539" s="75" t="s">
        <v>362</v>
      </c>
      <c r="I1539" s="75" t="s">
        <v>362</v>
      </c>
      <c r="J1539" s="4"/>
    </row>
    <row r="1540" spans="1:10" x14ac:dyDescent="0.25">
      <c r="A1540" s="39">
        <v>1539</v>
      </c>
      <c r="B1540" s="3" t="s">
        <v>395</v>
      </c>
      <c r="C1540" s="75" t="s">
        <v>396</v>
      </c>
      <c r="D1540" s="75" t="s">
        <v>375</v>
      </c>
      <c r="E1540" s="75" t="str">
        <f t="shared" si="27"/>
        <v>০</v>
      </c>
      <c r="F1540" s="22" t="str">
        <f>"8119457777369"</f>
        <v>8119457777369</v>
      </c>
      <c r="G1540" s="75" t="str">
        <f>"১৩০৩০৬১৮০০৯৩"</f>
        <v>১৩০৩০৬১৮০০৯৩</v>
      </c>
      <c r="H1540" s="75" t="s">
        <v>322</v>
      </c>
      <c r="I1540" s="75" t="s">
        <v>322</v>
      </c>
      <c r="J1540" s="4"/>
    </row>
    <row r="1541" spans="1:10" x14ac:dyDescent="0.25">
      <c r="A1541" s="39">
        <v>1540</v>
      </c>
      <c r="B1541" s="3" t="s">
        <v>397</v>
      </c>
      <c r="C1541" s="75" t="s">
        <v>398</v>
      </c>
      <c r="D1541" s="75" t="s">
        <v>375</v>
      </c>
      <c r="E1541" s="75" t="str">
        <f t="shared" si="27"/>
        <v>০</v>
      </c>
      <c r="F1541" s="22" t="str">
        <f>"8119457773090"</f>
        <v>8119457773090</v>
      </c>
      <c r="G1541" s="75" t="str">
        <f>"১৩০৩০৬১৮০০৯২"</f>
        <v>১৩০৩০৬১৮০০৯২</v>
      </c>
      <c r="H1541" s="75" t="s">
        <v>392</v>
      </c>
      <c r="I1541" s="75" t="s">
        <v>392</v>
      </c>
      <c r="J1541" s="4"/>
    </row>
    <row r="1542" spans="1:10" x14ac:dyDescent="0.25">
      <c r="A1542" s="39">
        <v>1541</v>
      </c>
      <c r="B1542" s="3" t="s">
        <v>399</v>
      </c>
      <c r="C1542" s="75" t="s">
        <v>400</v>
      </c>
      <c r="D1542" s="75" t="s">
        <v>375</v>
      </c>
      <c r="E1542" s="75" t="str">
        <f t="shared" si="27"/>
        <v>০</v>
      </c>
      <c r="F1542" s="22" t="str">
        <f>"8119457773958"</f>
        <v>8119457773958</v>
      </c>
      <c r="G1542" s="75" t="str">
        <f>"১৩০৩০৬১৮০০৯১"</f>
        <v>১৩০৩০৬১৮০০৯১</v>
      </c>
      <c r="H1542" s="75" t="s">
        <v>321</v>
      </c>
      <c r="I1542" s="75" t="s">
        <v>321</v>
      </c>
      <c r="J1542" s="4"/>
    </row>
    <row r="1543" spans="1:10" x14ac:dyDescent="0.25">
      <c r="A1543" s="39">
        <v>1542</v>
      </c>
      <c r="B1543" s="3" t="s">
        <v>1560</v>
      </c>
      <c r="C1543" s="75" t="s">
        <v>401</v>
      </c>
      <c r="D1543" s="75" t="s">
        <v>375</v>
      </c>
      <c r="E1543" s="75" t="str">
        <f t="shared" si="27"/>
        <v>০</v>
      </c>
      <c r="F1543" s="22" t="str">
        <f>"8119828808623"</f>
        <v>8119828808623</v>
      </c>
      <c r="G1543" s="75" t="str">
        <f>"১৩০৩০৬১৮০০৯০"</f>
        <v>১৩০৩০৬১৮০০৯০</v>
      </c>
      <c r="H1543" s="75" t="s">
        <v>371</v>
      </c>
      <c r="I1543" s="75" t="s">
        <v>371</v>
      </c>
      <c r="J1543" s="4"/>
    </row>
    <row r="1544" spans="1:10" x14ac:dyDescent="0.25">
      <c r="A1544" s="39">
        <v>1543</v>
      </c>
      <c r="B1544" s="3" t="s">
        <v>1853</v>
      </c>
      <c r="C1544" s="75" t="s">
        <v>2896</v>
      </c>
      <c r="D1544" s="75" t="s">
        <v>402</v>
      </c>
      <c r="E1544" s="75" t="str">
        <f>"০১৭৭৭-২৪৩২৩১"</f>
        <v>০১৭৭৭-২৪৩২৩১</v>
      </c>
      <c r="F1544" s="22" t="str">
        <f>"199118119457000399"</f>
        <v>199118119457000399</v>
      </c>
      <c r="G1544" s="75" t="str">
        <f>"১৩০৩০৬১৮১২৫৩"</f>
        <v>১৩০৩০৬১৮১২৫৩</v>
      </c>
      <c r="H1544" s="75" t="s">
        <v>323</v>
      </c>
      <c r="I1544" s="75" t="s">
        <v>323</v>
      </c>
      <c r="J1544" s="4"/>
    </row>
    <row r="1545" spans="1:10" x14ac:dyDescent="0.25">
      <c r="A1545" s="39">
        <v>1544</v>
      </c>
      <c r="B1545" s="3" t="s">
        <v>403</v>
      </c>
      <c r="C1545" s="75" t="s">
        <v>2897</v>
      </c>
      <c r="D1545" s="75" t="s">
        <v>402</v>
      </c>
      <c r="E1545" s="75" t="str">
        <f t="shared" ref="E1545:E1567" si="28">"০"</f>
        <v>০</v>
      </c>
      <c r="F1545" s="22" t="str">
        <f>"81194578"</f>
        <v>81194578</v>
      </c>
      <c r="G1545" s="75" t="str">
        <f>"১৩০৩০৬১৮১২৫২"</f>
        <v>১৩০৩০৬১৮১২৫২</v>
      </c>
      <c r="H1545" s="75" t="s">
        <v>323</v>
      </c>
      <c r="I1545" s="75" t="s">
        <v>323</v>
      </c>
      <c r="J1545" s="4"/>
    </row>
    <row r="1546" spans="1:10" x14ac:dyDescent="0.25">
      <c r="A1546" s="39">
        <v>1545</v>
      </c>
      <c r="B1546" s="3" t="s">
        <v>2898</v>
      </c>
      <c r="C1546" s="75" t="s">
        <v>403</v>
      </c>
      <c r="D1546" s="75" t="s">
        <v>402</v>
      </c>
      <c r="E1546" s="75" t="str">
        <f t="shared" si="28"/>
        <v>০</v>
      </c>
      <c r="F1546" s="22" t="str">
        <f>"81194578"</f>
        <v>81194578</v>
      </c>
      <c r="G1546" s="75" t="str">
        <f>"১৩০৩০৬১৮১২৫১"</f>
        <v>১৩০৩০৬১৮১২৫১</v>
      </c>
      <c r="H1546" s="75" t="s">
        <v>404</v>
      </c>
      <c r="I1546" s="75" t="s">
        <v>404</v>
      </c>
      <c r="J1546" s="4"/>
    </row>
    <row r="1547" spans="1:10" x14ac:dyDescent="0.25">
      <c r="A1547" s="39">
        <v>1546</v>
      </c>
      <c r="B1547" s="3" t="s">
        <v>2899</v>
      </c>
      <c r="C1547" s="75" t="s">
        <v>405</v>
      </c>
      <c r="D1547" s="75" t="s">
        <v>402</v>
      </c>
      <c r="E1547" s="75" t="str">
        <f t="shared" si="28"/>
        <v>০</v>
      </c>
      <c r="F1547" s="22" t="str">
        <f>"8119457834395"</f>
        <v>8119457834395</v>
      </c>
      <c r="G1547" s="75" t="str">
        <f>"১৩০৩০৬১৮১২৫০"</f>
        <v>১৩০৩০৬১৮১২৫০</v>
      </c>
      <c r="H1547" s="75" t="s">
        <v>362</v>
      </c>
      <c r="I1547" s="75" t="s">
        <v>362</v>
      </c>
      <c r="J1547" s="4"/>
    </row>
    <row r="1548" spans="1:10" x14ac:dyDescent="0.25">
      <c r="A1548" s="39">
        <v>1547</v>
      </c>
      <c r="B1548" s="3" t="s">
        <v>2900</v>
      </c>
      <c r="C1548" s="75" t="s">
        <v>406</v>
      </c>
      <c r="D1548" s="75" t="s">
        <v>402</v>
      </c>
      <c r="E1548" s="75" t="str">
        <f t="shared" si="28"/>
        <v>০</v>
      </c>
      <c r="F1548" s="22" t="str">
        <f>"8119457834087"</f>
        <v>8119457834087</v>
      </c>
      <c r="G1548" s="75" t="str">
        <f>"১৩০৩০৬১৮১২৪৯"</f>
        <v>১৩০৩০৬১৮১২৪৯</v>
      </c>
      <c r="H1548" s="75" t="s">
        <v>407</v>
      </c>
      <c r="I1548" s="75" t="s">
        <v>407</v>
      </c>
      <c r="J1548" s="4"/>
    </row>
    <row r="1549" spans="1:10" x14ac:dyDescent="0.25">
      <c r="A1549" s="39">
        <v>1548</v>
      </c>
      <c r="B1549" s="3" t="s">
        <v>2901</v>
      </c>
      <c r="C1549" s="75" t="s">
        <v>408</v>
      </c>
      <c r="D1549" s="75" t="s">
        <v>402</v>
      </c>
      <c r="E1549" s="75" t="str">
        <f t="shared" si="28"/>
        <v>০</v>
      </c>
      <c r="F1549" s="22" t="str">
        <f>"8119457834627"</f>
        <v>8119457834627</v>
      </c>
      <c r="G1549" s="75" t="str">
        <f>"১৩০৩০৬১৮১২৪৮"</f>
        <v>১৩০৩০৬১৮১২৪৮</v>
      </c>
      <c r="H1549" s="75" t="s">
        <v>371</v>
      </c>
      <c r="I1549" s="75" t="s">
        <v>371</v>
      </c>
      <c r="J1549" s="4"/>
    </row>
    <row r="1550" spans="1:10" x14ac:dyDescent="0.25">
      <c r="A1550" s="39">
        <v>1549</v>
      </c>
      <c r="B1550" s="3" t="s">
        <v>2902</v>
      </c>
      <c r="C1550" s="75" t="s">
        <v>409</v>
      </c>
      <c r="D1550" s="75" t="s">
        <v>402</v>
      </c>
      <c r="E1550" s="75" t="str">
        <f t="shared" si="28"/>
        <v>০</v>
      </c>
      <c r="F1550" s="22" t="str">
        <f>"8119457834554"</f>
        <v>8119457834554</v>
      </c>
      <c r="G1550" s="75" t="str">
        <f>"১৩০৩০৬১৮১২৪৭"</f>
        <v>১৩০৩০৬১৮১২৪৭</v>
      </c>
      <c r="H1550" s="75" t="s">
        <v>376</v>
      </c>
      <c r="I1550" s="75" t="s">
        <v>376</v>
      </c>
      <c r="J1550" s="4"/>
    </row>
    <row r="1551" spans="1:10" x14ac:dyDescent="0.25">
      <c r="A1551" s="39">
        <v>1550</v>
      </c>
      <c r="B1551" s="3" t="s">
        <v>2903</v>
      </c>
      <c r="C1551" s="75" t="s">
        <v>2904</v>
      </c>
      <c r="D1551" s="75" t="s">
        <v>402</v>
      </c>
      <c r="E1551" s="75" t="str">
        <f t="shared" si="28"/>
        <v>০</v>
      </c>
      <c r="F1551" s="22" t="str">
        <f>"8119457834294"</f>
        <v>8119457834294</v>
      </c>
      <c r="G1551" s="75" t="str">
        <f>"১৩০৩০৬১৮১২৪৬"</f>
        <v>১৩০৩০৬১৮১২৪৬</v>
      </c>
      <c r="H1551" s="75" t="s">
        <v>322</v>
      </c>
      <c r="I1551" s="75" t="s">
        <v>322</v>
      </c>
      <c r="J1551" s="4"/>
    </row>
    <row r="1552" spans="1:10" x14ac:dyDescent="0.25">
      <c r="A1552" s="39">
        <v>1551</v>
      </c>
      <c r="B1552" s="3" t="s">
        <v>2905</v>
      </c>
      <c r="C1552" s="75" t="s">
        <v>410</v>
      </c>
      <c r="D1552" s="75" t="s">
        <v>402</v>
      </c>
      <c r="E1552" s="75" t="str">
        <f t="shared" si="28"/>
        <v>০</v>
      </c>
      <c r="F1552" s="22" t="str">
        <f>"8119457833629"</f>
        <v>8119457833629</v>
      </c>
      <c r="G1552" s="75" t="str">
        <f>"১৩০৩০৬১৮১২৪৫"</f>
        <v>১৩০৩০৬১৮১২৪৫</v>
      </c>
      <c r="H1552" s="75" t="s">
        <v>371</v>
      </c>
      <c r="I1552" s="75" t="s">
        <v>371</v>
      </c>
      <c r="J1552" s="4"/>
    </row>
    <row r="1553" spans="1:10" x14ac:dyDescent="0.25">
      <c r="A1553" s="39">
        <v>1552</v>
      </c>
      <c r="B1553" s="3" t="s">
        <v>2906</v>
      </c>
      <c r="C1553" s="75" t="s">
        <v>411</v>
      </c>
      <c r="D1553" s="75" t="s">
        <v>402</v>
      </c>
      <c r="E1553" s="75" t="str">
        <f t="shared" si="28"/>
        <v>০</v>
      </c>
      <c r="F1553" s="22" t="str">
        <f>"8119457833633"</f>
        <v>8119457833633</v>
      </c>
      <c r="G1553" s="75" t="str">
        <f>"১৩০৩০৬১৮১২৪৪"</f>
        <v>১৩০৩০৬১৮১২৪৪</v>
      </c>
      <c r="H1553" s="75" t="s">
        <v>362</v>
      </c>
      <c r="I1553" s="75" t="s">
        <v>362</v>
      </c>
      <c r="J1553" s="4"/>
    </row>
    <row r="1554" spans="1:10" x14ac:dyDescent="0.25">
      <c r="A1554" s="39">
        <v>1553</v>
      </c>
      <c r="B1554" s="3" t="s">
        <v>2907</v>
      </c>
      <c r="C1554" s="75" t="s">
        <v>412</v>
      </c>
      <c r="D1554" s="75" t="s">
        <v>402</v>
      </c>
      <c r="E1554" s="75" t="str">
        <f t="shared" si="28"/>
        <v>০</v>
      </c>
      <c r="F1554" s="22" t="str">
        <f>"8119457834767"</f>
        <v>8119457834767</v>
      </c>
      <c r="G1554" s="75" t="str">
        <f>"১৩০৩০৬১৮১২৪৩"</f>
        <v>১৩০৩০৬১৮১২৪৩</v>
      </c>
      <c r="H1554" s="75" t="s">
        <v>371</v>
      </c>
      <c r="I1554" s="75" t="s">
        <v>371</v>
      </c>
      <c r="J1554" s="4"/>
    </row>
    <row r="1555" spans="1:10" x14ac:dyDescent="0.25">
      <c r="A1555" s="39">
        <v>1554</v>
      </c>
      <c r="B1555" s="3" t="s">
        <v>2908</v>
      </c>
      <c r="C1555" s="75" t="s">
        <v>413</v>
      </c>
      <c r="D1555" s="75" t="s">
        <v>402</v>
      </c>
      <c r="E1555" s="75" t="str">
        <f t="shared" si="28"/>
        <v>০</v>
      </c>
      <c r="F1555" s="22" t="str">
        <f>"8119457834126"</f>
        <v>8119457834126</v>
      </c>
      <c r="G1555" s="75" t="str">
        <f>"১৩০৩০৬১৮১২৪২"</f>
        <v>১৩০৩০৬১৮১২৪২</v>
      </c>
      <c r="H1555" s="75" t="s">
        <v>346</v>
      </c>
      <c r="I1555" s="75" t="s">
        <v>346</v>
      </c>
      <c r="J1555" s="4"/>
    </row>
    <row r="1556" spans="1:10" x14ac:dyDescent="0.25">
      <c r="A1556" s="39">
        <v>1555</v>
      </c>
      <c r="B1556" s="3" t="s">
        <v>2909</v>
      </c>
      <c r="C1556" s="75" t="s">
        <v>414</v>
      </c>
      <c r="D1556" s="75" t="s">
        <v>402</v>
      </c>
      <c r="E1556" s="75" t="str">
        <f t="shared" si="28"/>
        <v>০</v>
      </c>
      <c r="F1556" s="22" t="str">
        <f>"8119457833475"</f>
        <v>8119457833475</v>
      </c>
      <c r="G1556" s="75" t="str">
        <f>"১৩০৩০৬১৮১২৪১"</f>
        <v>১৩০৩০৬১৮১২৪১</v>
      </c>
      <c r="H1556" s="75" t="s">
        <v>371</v>
      </c>
      <c r="I1556" s="75" t="s">
        <v>371</v>
      </c>
      <c r="J1556" s="4"/>
    </row>
    <row r="1557" spans="1:10" x14ac:dyDescent="0.25">
      <c r="A1557" s="39">
        <v>1556</v>
      </c>
      <c r="B1557" s="3" t="s">
        <v>2910</v>
      </c>
      <c r="C1557" s="75" t="s">
        <v>415</v>
      </c>
      <c r="D1557" s="75" t="s">
        <v>402</v>
      </c>
      <c r="E1557" s="75" t="str">
        <f t="shared" si="28"/>
        <v>০</v>
      </c>
      <c r="F1557" s="22" t="str">
        <f>"8119457833907"</f>
        <v>8119457833907</v>
      </c>
      <c r="G1557" s="75" t="str">
        <f>"১৩০৩০৬১৮১২৪০"</f>
        <v>১৩০৩০৬১৮১২৪০</v>
      </c>
      <c r="H1557" s="75" t="s">
        <v>323</v>
      </c>
      <c r="I1557" s="75" t="s">
        <v>323</v>
      </c>
      <c r="J1557" s="4"/>
    </row>
    <row r="1558" spans="1:10" x14ac:dyDescent="0.25">
      <c r="A1558" s="39">
        <v>1557</v>
      </c>
      <c r="B1558" s="3" t="s">
        <v>2911</v>
      </c>
      <c r="C1558" s="75" t="s">
        <v>416</v>
      </c>
      <c r="D1558" s="75" t="s">
        <v>402</v>
      </c>
      <c r="E1558" s="75" t="str">
        <f t="shared" si="28"/>
        <v>০</v>
      </c>
      <c r="F1558" s="22" t="str">
        <f>"8119457834559"</f>
        <v>8119457834559</v>
      </c>
      <c r="G1558" s="75" t="str">
        <f>"১৩০৩০৬১৮১২৩৯"</f>
        <v>১৩০৩০৬১৮১২৩৯</v>
      </c>
      <c r="H1558" s="75" t="s">
        <v>322</v>
      </c>
      <c r="I1558" s="75" t="s">
        <v>322</v>
      </c>
      <c r="J1558" s="4"/>
    </row>
    <row r="1559" spans="1:10" x14ac:dyDescent="0.25">
      <c r="A1559" s="39">
        <v>1558</v>
      </c>
      <c r="B1559" s="3" t="s">
        <v>2895</v>
      </c>
      <c r="C1559" s="75" t="s">
        <v>417</v>
      </c>
      <c r="D1559" s="75" t="s">
        <v>402</v>
      </c>
      <c r="E1559" s="75" t="str">
        <f t="shared" si="28"/>
        <v>০</v>
      </c>
      <c r="F1559" s="22" t="str">
        <f>"8119457834672"</f>
        <v>8119457834672</v>
      </c>
      <c r="G1559" s="75" t="str">
        <f>"১৩০৩০৬১৮১২৩৮"</f>
        <v>১৩০৩০৬১৮১২৩৮</v>
      </c>
      <c r="H1559" s="75" t="s">
        <v>357</v>
      </c>
      <c r="I1559" s="75" t="s">
        <v>357</v>
      </c>
      <c r="J1559" s="4"/>
    </row>
    <row r="1560" spans="1:10" x14ac:dyDescent="0.25">
      <c r="A1560" s="39">
        <v>1559</v>
      </c>
      <c r="B1560" s="3" t="s">
        <v>2912</v>
      </c>
      <c r="C1560" s="75" t="s">
        <v>2913</v>
      </c>
      <c r="D1560" s="75" t="s">
        <v>402</v>
      </c>
      <c r="E1560" s="75" t="str">
        <f t="shared" si="28"/>
        <v>০</v>
      </c>
      <c r="F1560" s="22" t="str">
        <f>"8119457834026"</f>
        <v>8119457834026</v>
      </c>
      <c r="G1560" s="75" t="str">
        <f>"১৩০৩০৬১৮১২৩৭"</f>
        <v>১৩০৩০৬১৮১২৩৭</v>
      </c>
      <c r="H1560" s="75" t="s">
        <v>323</v>
      </c>
      <c r="I1560" s="75" t="s">
        <v>323</v>
      </c>
      <c r="J1560" s="4"/>
    </row>
    <row r="1561" spans="1:10" x14ac:dyDescent="0.25">
      <c r="A1561" s="39">
        <v>1560</v>
      </c>
      <c r="B1561" s="3" t="s">
        <v>2914</v>
      </c>
      <c r="C1561" s="75" t="s">
        <v>2915</v>
      </c>
      <c r="D1561" s="75" t="s">
        <v>402</v>
      </c>
      <c r="E1561" s="75" t="str">
        <f t="shared" si="28"/>
        <v>০</v>
      </c>
      <c r="F1561" s="22" t="str">
        <f>"8119457834318"</f>
        <v>8119457834318</v>
      </c>
      <c r="G1561" s="75" t="str">
        <f>"১৩০৩০৬১৮১২৩৬"</f>
        <v>১৩০৩০৬১৮১২৩৬</v>
      </c>
      <c r="H1561" s="75" t="s">
        <v>362</v>
      </c>
      <c r="I1561" s="75" t="s">
        <v>362</v>
      </c>
      <c r="J1561" s="4"/>
    </row>
    <row r="1562" spans="1:10" x14ac:dyDescent="0.25">
      <c r="A1562" s="39">
        <v>1561</v>
      </c>
      <c r="B1562" s="3" t="s">
        <v>418</v>
      </c>
      <c r="C1562" s="75" t="s">
        <v>419</v>
      </c>
      <c r="D1562" s="75" t="s">
        <v>402</v>
      </c>
      <c r="E1562" s="75" t="str">
        <f t="shared" si="28"/>
        <v>০</v>
      </c>
      <c r="F1562" s="22" t="str">
        <f>"8119457834217"</f>
        <v>8119457834217</v>
      </c>
      <c r="G1562" s="75" t="str">
        <f>"১৩০৩০৬১৮১২৩৫"</f>
        <v>১৩০৩০৬১৮১২৩৫</v>
      </c>
      <c r="H1562" s="75" t="s">
        <v>420</v>
      </c>
      <c r="I1562" s="75" t="s">
        <v>420</v>
      </c>
      <c r="J1562" s="4"/>
    </row>
    <row r="1563" spans="1:10" x14ac:dyDescent="0.25">
      <c r="A1563" s="39">
        <v>1562</v>
      </c>
      <c r="B1563" s="3" t="s">
        <v>2916</v>
      </c>
      <c r="C1563" s="75" t="s">
        <v>421</v>
      </c>
      <c r="D1563" s="75" t="s">
        <v>402</v>
      </c>
      <c r="E1563" s="75" t="str">
        <f t="shared" si="28"/>
        <v>০</v>
      </c>
      <c r="F1563" s="22" t="str">
        <f>"8119457833435"</f>
        <v>8119457833435</v>
      </c>
      <c r="G1563" s="75" t="str">
        <f>"১৩০৩০৬১৮১২৩৪"</f>
        <v>১৩০৩০৬১৮১২৩৪</v>
      </c>
      <c r="H1563" s="75" t="s">
        <v>371</v>
      </c>
      <c r="I1563" s="75" t="s">
        <v>371</v>
      </c>
      <c r="J1563" s="4"/>
    </row>
    <row r="1564" spans="1:10" x14ac:dyDescent="0.25">
      <c r="A1564" s="39">
        <v>1563</v>
      </c>
      <c r="B1564" s="3" t="s">
        <v>2917</v>
      </c>
      <c r="C1564" s="75" t="s">
        <v>2918</v>
      </c>
      <c r="D1564" s="75" t="s">
        <v>402</v>
      </c>
      <c r="E1564" s="75" t="str">
        <f t="shared" si="28"/>
        <v>০</v>
      </c>
      <c r="F1564" s="22" t="str">
        <f>"19818119457000010"</f>
        <v>19818119457000010</v>
      </c>
      <c r="G1564" s="75" t="str">
        <f>"১৩০৩০৬১৮১২৩৩"</f>
        <v>১৩০৩০৬১৮১২৩৩</v>
      </c>
      <c r="H1564" s="75" t="s">
        <v>346</v>
      </c>
      <c r="I1564" s="75" t="s">
        <v>346</v>
      </c>
      <c r="J1564" s="4"/>
    </row>
    <row r="1565" spans="1:10" x14ac:dyDescent="0.25">
      <c r="A1565" s="39">
        <v>1564</v>
      </c>
      <c r="B1565" s="3" t="s">
        <v>422</v>
      </c>
      <c r="C1565" s="75" t="s">
        <v>2919</v>
      </c>
      <c r="D1565" s="75" t="s">
        <v>402</v>
      </c>
      <c r="E1565" s="75" t="str">
        <f t="shared" si="28"/>
        <v>০</v>
      </c>
      <c r="F1565" s="22" t="str">
        <f>"8119457833419"</f>
        <v>8119457833419</v>
      </c>
      <c r="G1565" s="75" t="str">
        <f>"১৩০৩০৬১৮১২৩২"</f>
        <v>১৩০৩০৬১৮১২৩২</v>
      </c>
      <c r="H1565" s="75" t="s">
        <v>357</v>
      </c>
      <c r="I1565" s="75" t="s">
        <v>357</v>
      </c>
      <c r="J1565" s="4"/>
    </row>
    <row r="1566" spans="1:10" x14ac:dyDescent="0.25">
      <c r="A1566" s="39">
        <v>1565</v>
      </c>
      <c r="B1566" s="3" t="s">
        <v>2920</v>
      </c>
      <c r="C1566" s="75" t="s">
        <v>2921</v>
      </c>
      <c r="D1566" s="75" t="s">
        <v>402</v>
      </c>
      <c r="E1566" s="75" t="str">
        <f t="shared" si="28"/>
        <v>০</v>
      </c>
      <c r="F1566" s="22" t="str">
        <f>"8119457000218"</f>
        <v>8119457000218</v>
      </c>
      <c r="G1566" s="75" t="str">
        <f>"১৩০৩০৬১৮১২৩১"</f>
        <v>১৩০৩০৬১৮১২৩১</v>
      </c>
      <c r="H1566" s="75" t="s">
        <v>322</v>
      </c>
      <c r="I1566" s="75" t="s">
        <v>322</v>
      </c>
      <c r="J1566" s="4"/>
    </row>
    <row r="1567" spans="1:10" x14ac:dyDescent="0.25">
      <c r="A1567" s="39">
        <v>1566</v>
      </c>
      <c r="B1567" s="3" t="s">
        <v>2922</v>
      </c>
      <c r="C1567" s="75" t="s">
        <v>2923</v>
      </c>
      <c r="D1567" s="75" t="s">
        <v>402</v>
      </c>
      <c r="E1567" s="75" t="str">
        <f t="shared" si="28"/>
        <v>০</v>
      </c>
      <c r="F1567" s="22" t="str">
        <f>"8119457834777"</f>
        <v>8119457834777</v>
      </c>
      <c r="G1567" s="75" t="str">
        <f>"১৩০৩০৬১৮১২৩০"</f>
        <v>১৩০৩০৬১৮১২৩০</v>
      </c>
      <c r="H1567" s="75" t="s">
        <v>321</v>
      </c>
      <c r="I1567" s="75" t="s">
        <v>321</v>
      </c>
      <c r="J1567" s="4"/>
    </row>
    <row r="1568" spans="1:10" x14ac:dyDescent="0.25">
      <c r="A1568" s="39">
        <v>1567</v>
      </c>
      <c r="B1568" s="3" t="s">
        <v>1822</v>
      </c>
      <c r="C1568" s="75" t="s">
        <v>423</v>
      </c>
      <c r="D1568" s="75" t="s">
        <v>402</v>
      </c>
      <c r="E1568" s="75" t="str">
        <f>"০১৭৭৪-৫৪৬৬৭৬"</f>
        <v>০১৭৭৪-৫৪৬৬৭৬</v>
      </c>
      <c r="F1568" s="22" t="str">
        <f>"8119457000465"</f>
        <v>8119457000465</v>
      </c>
      <c r="G1568" s="75" t="str">
        <f>"১৩০৩০৬১৮১২২৯"</f>
        <v>১৩০৩০৬১৮১২২৯</v>
      </c>
      <c r="H1568" s="75" t="s">
        <v>371</v>
      </c>
      <c r="I1568" s="75" t="s">
        <v>371</v>
      </c>
      <c r="J1568" s="4"/>
    </row>
    <row r="1569" spans="1:10" x14ac:dyDescent="0.25">
      <c r="A1569" s="39">
        <v>1568</v>
      </c>
      <c r="B1569" s="3" t="s">
        <v>2924</v>
      </c>
      <c r="C1569" s="75" t="s">
        <v>2925</v>
      </c>
      <c r="D1569" s="75" t="s">
        <v>402</v>
      </c>
      <c r="E1569" s="75" t="str">
        <f>"০১৭৮২-৮৩২৬৯০"</f>
        <v>০১৭৮২-৮৩২৬৯০</v>
      </c>
      <c r="F1569" s="22" t="str">
        <f>"8119457833603"</f>
        <v>8119457833603</v>
      </c>
      <c r="G1569" s="75" t="str">
        <f>"১৩০৩০৬১৮১২২৮"</f>
        <v>১৩০৩০৬১৮১২২৮</v>
      </c>
      <c r="H1569" s="75" t="s">
        <v>424</v>
      </c>
      <c r="I1569" s="75" t="s">
        <v>424</v>
      </c>
      <c r="J1569" s="4"/>
    </row>
    <row r="1570" spans="1:10" x14ac:dyDescent="0.25">
      <c r="A1570" s="39">
        <v>1569</v>
      </c>
      <c r="B1570" s="3" t="s">
        <v>2926</v>
      </c>
      <c r="C1570" s="75" t="s">
        <v>2927</v>
      </c>
      <c r="D1570" s="75" t="s">
        <v>402</v>
      </c>
      <c r="E1570" s="75" t="str">
        <f>"০১৭৩৭-৪৯৭০২৩"</f>
        <v>০১৭৩৭-৪৯৭০২৩</v>
      </c>
      <c r="F1570" s="22" t="str">
        <f>"8119457834569"</f>
        <v>8119457834569</v>
      </c>
      <c r="G1570" s="75" t="str">
        <f>"১৩০৩০৬১৮১২২৭"</f>
        <v>১৩০৩০৬১৮১২২৭</v>
      </c>
      <c r="H1570" s="75" t="s">
        <v>425</v>
      </c>
      <c r="I1570" s="75" t="s">
        <v>425</v>
      </c>
      <c r="J1570" s="4"/>
    </row>
    <row r="1571" spans="1:10" x14ac:dyDescent="0.25">
      <c r="A1571" s="39">
        <v>1570</v>
      </c>
      <c r="B1571" s="3" t="s">
        <v>2928</v>
      </c>
      <c r="C1571" s="75" t="s">
        <v>2929</v>
      </c>
      <c r="D1571" s="75" t="s">
        <v>402</v>
      </c>
      <c r="E1571" s="75" t="str">
        <f>"০১৭১৪-৯৭২৫৯২"</f>
        <v>০১৭১৪-৯৭২৫৯২</v>
      </c>
      <c r="F1571" s="22" t="str">
        <f>"8119457834435"</f>
        <v>8119457834435</v>
      </c>
      <c r="G1571" s="75" t="str">
        <f>"১৩০৩০৬১৮১২২৬"</f>
        <v>১৩০৩০৬১৮১২২৬</v>
      </c>
      <c r="H1571" s="75" t="s">
        <v>424</v>
      </c>
      <c r="I1571" s="75" t="s">
        <v>424</v>
      </c>
      <c r="J1571" s="4"/>
    </row>
    <row r="1572" spans="1:10" x14ac:dyDescent="0.25">
      <c r="A1572" s="39">
        <v>1571</v>
      </c>
      <c r="B1572" s="3" t="s">
        <v>2930</v>
      </c>
      <c r="C1572" s="75" t="s">
        <v>2931</v>
      </c>
      <c r="D1572" s="75" t="s">
        <v>402</v>
      </c>
      <c r="E1572" s="75" t="str">
        <f>"০১৭৩৭-২৭৯৬৭২"</f>
        <v>০১৭৩৭-২৭৯৬৭২</v>
      </c>
      <c r="F1572" s="22" t="str">
        <f>"8119457833488"</f>
        <v>8119457833488</v>
      </c>
      <c r="G1572" s="75" t="str">
        <f>"১৩০৩০৬১৮১২২৫"</f>
        <v>১৩০৩০৬১৮১২২৫</v>
      </c>
      <c r="H1572" s="75" t="s">
        <v>323</v>
      </c>
      <c r="I1572" s="75" t="s">
        <v>323</v>
      </c>
      <c r="J1572" s="4"/>
    </row>
    <row r="1573" spans="1:10" x14ac:dyDescent="0.25">
      <c r="A1573" s="39">
        <v>1572</v>
      </c>
      <c r="B1573" s="3" t="s">
        <v>403</v>
      </c>
      <c r="C1573" s="75" t="s">
        <v>426</v>
      </c>
      <c r="D1573" s="75" t="s">
        <v>427</v>
      </c>
      <c r="E1573" s="75" t="str">
        <f t="shared" ref="E1573:E1579" si="29">"০"</f>
        <v>০</v>
      </c>
      <c r="F1573" s="22" t="str">
        <f>"8119457833759"</f>
        <v>8119457833759</v>
      </c>
      <c r="G1573" s="75" t="str">
        <f>"১৩০৩০৬১৮১৩৯৬"</f>
        <v>১৩০৩০৬১৮১৩৯৬</v>
      </c>
      <c r="H1573" s="75" t="s">
        <v>319</v>
      </c>
      <c r="I1573" s="75" t="s">
        <v>319</v>
      </c>
      <c r="J1573" s="4"/>
    </row>
    <row r="1574" spans="1:10" x14ac:dyDescent="0.25">
      <c r="A1574" s="39">
        <v>1573</v>
      </c>
      <c r="B1574" s="3" t="s">
        <v>2932</v>
      </c>
      <c r="C1574" s="75" t="s">
        <v>428</v>
      </c>
      <c r="D1574" s="75" t="s">
        <v>427</v>
      </c>
      <c r="E1574" s="75" t="str">
        <f t="shared" si="29"/>
        <v>০</v>
      </c>
      <c r="F1574" s="22" t="str">
        <f>"8119457833799"</f>
        <v>8119457833799</v>
      </c>
      <c r="G1574" s="75" t="str">
        <f>"১৩০৩০৬১৮১৩৯৫"</f>
        <v>১৩০৩০৬১৮১৩৯৫</v>
      </c>
      <c r="H1574" s="75" t="s">
        <v>346</v>
      </c>
      <c r="I1574" s="75" t="s">
        <v>346</v>
      </c>
      <c r="J1574" s="4"/>
    </row>
    <row r="1575" spans="1:10" x14ac:dyDescent="0.25">
      <c r="A1575" s="39">
        <v>1574</v>
      </c>
      <c r="B1575" s="3" t="s">
        <v>2933</v>
      </c>
      <c r="C1575" s="75" t="s">
        <v>429</v>
      </c>
      <c r="D1575" s="75" t="s">
        <v>430</v>
      </c>
      <c r="E1575" s="75" t="str">
        <f t="shared" si="29"/>
        <v>০</v>
      </c>
      <c r="F1575" s="22" t="str">
        <f>"8119457833850"</f>
        <v>8119457833850</v>
      </c>
      <c r="G1575" s="75" t="str">
        <f>"১৩০৩০৬১৮১৩৬৯"</f>
        <v>১৩০৩০৬১৮১৩৬৯</v>
      </c>
      <c r="H1575" s="75" t="s">
        <v>346</v>
      </c>
      <c r="I1575" s="75" t="s">
        <v>346</v>
      </c>
      <c r="J1575" s="4"/>
    </row>
    <row r="1576" spans="1:10" x14ac:dyDescent="0.25">
      <c r="A1576" s="39">
        <v>1575</v>
      </c>
      <c r="B1576" s="3" t="s">
        <v>431</v>
      </c>
      <c r="C1576" s="75" t="s">
        <v>432</v>
      </c>
      <c r="D1576" s="75" t="s">
        <v>430</v>
      </c>
      <c r="E1576" s="75" t="str">
        <f t="shared" si="29"/>
        <v>০</v>
      </c>
      <c r="F1576" s="22" t="str">
        <f>"8119457833884"</f>
        <v>8119457833884</v>
      </c>
      <c r="G1576" s="75" t="str">
        <f>"১৩০৩০৬১৮১৩৬৮"</f>
        <v>১৩০৩০৬১৮১৩৬৮</v>
      </c>
      <c r="H1576" s="75" t="s">
        <v>371</v>
      </c>
      <c r="I1576" s="75" t="s">
        <v>371</v>
      </c>
      <c r="J1576" s="4"/>
    </row>
    <row r="1577" spans="1:10" x14ac:dyDescent="0.25">
      <c r="A1577" s="39">
        <v>1576</v>
      </c>
      <c r="B1577" s="3" t="s">
        <v>433</v>
      </c>
      <c r="C1577" s="75" t="s">
        <v>434</v>
      </c>
      <c r="D1577" s="75" t="s">
        <v>435</v>
      </c>
      <c r="E1577" s="75" t="str">
        <f t="shared" si="29"/>
        <v>০</v>
      </c>
      <c r="F1577" s="22" t="str">
        <f>"8119457810426"</f>
        <v>8119457810426</v>
      </c>
      <c r="G1577" s="75" t="str">
        <f>"১৩০৩০৬১৮০৩৬২"</f>
        <v>১৩০৩০৬১৮০৩৬২</v>
      </c>
      <c r="H1577" s="75" t="s">
        <v>323</v>
      </c>
      <c r="I1577" s="75" t="s">
        <v>323</v>
      </c>
      <c r="J1577" s="4"/>
    </row>
    <row r="1578" spans="1:10" x14ac:dyDescent="0.25">
      <c r="A1578" s="39">
        <v>1577</v>
      </c>
      <c r="B1578" s="3" t="s">
        <v>436</v>
      </c>
      <c r="C1578" s="75" t="s">
        <v>437</v>
      </c>
      <c r="D1578" s="75" t="s">
        <v>435</v>
      </c>
      <c r="E1578" s="75" t="str">
        <f t="shared" si="29"/>
        <v>০</v>
      </c>
      <c r="F1578" s="22" t="str">
        <f>"811945774273"</f>
        <v>811945774273</v>
      </c>
      <c r="G1578" s="75" t="str">
        <f>"১৩০৩০৬১৮০৩৬১"</f>
        <v>১৩০৩০৬১৮০৩৬১</v>
      </c>
      <c r="H1578" s="75" t="s">
        <v>321</v>
      </c>
      <c r="I1578" s="75" t="s">
        <v>321</v>
      </c>
      <c r="J1578" s="4"/>
    </row>
    <row r="1579" spans="1:10" x14ac:dyDescent="0.25">
      <c r="A1579" s="39">
        <v>1578</v>
      </c>
      <c r="B1579" s="3" t="s">
        <v>438</v>
      </c>
      <c r="C1579" s="75" t="s">
        <v>439</v>
      </c>
      <c r="D1579" s="75" t="s">
        <v>440</v>
      </c>
      <c r="E1579" s="75" t="str">
        <f t="shared" si="29"/>
        <v>০</v>
      </c>
      <c r="F1579" s="22" t="str">
        <f>"8119457811111"</f>
        <v>8119457811111</v>
      </c>
      <c r="G1579" s="75" t="str">
        <f>"১৩০৩০৬১৮১৩৪২"</f>
        <v>১৩০৩০৬১৮১৩৪২</v>
      </c>
      <c r="H1579" s="75" t="s">
        <v>346</v>
      </c>
      <c r="I1579" s="75" t="s">
        <v>346</v>
      </c>
      <c r="J1579" s="4"/>
    </row>
    <row r="1580" spans="1:10" x14ac:dyDescent="0.25">
      <c r="A1580" s="39">
        <v>1579</v>
      </c>
      <c r="B1580" s="3" t="s">
        <v>441</v>
      </c>
      <c r="C1580" s="75" t="s">
        <v>442</v>
      </c>
      <c r="D1580" s="75" t="s">
        <v>440</v>
      </c>
      <c r="E1580" s="75" t="str">
        <f>"০১৭১০-৪৯৩৪১৪"</f>
        <v>০১৭১০-৪৯৩৪১৪</v>
      </c>
      <c r="F1580" s="22" t="str">
        <f>"8119457811342"</f>
        <v>8119457811342</v>
      </c>
      <c r="G1580" s="75" t="str">
        <f>"১৩০৩০৬১৮১৩৪১"</f>
        <v>১৩০৩০৬১৮১৩৪১</v>
      </c>
      <c r="H1580" s="75" t="s">
        <v>392</v>
      </c>
      <c r="I1580" s="75" t="s">
        <v>392</v>
      </c>
      <c r="J1580" s="4"/>
    </row>
    <row r="1581" spans="1:10" x14ac:dyDescent="0.25">
      <c r="A1581" s="39">
        <v>1580</v>
      </c>
      <c r="B1581" s="3" t="s">
        <v>2934</v>
      </c>
      <c r="C1581" s="75" t="s">
        <v>443</v>
      </c>
      <c r="D1581" s="75" t="s">
        <v>440</v>
      </c>
      <c r="E1581" s="75" t="str">
        <f>"০"</f>
        <v>০</v>
      </c>
      <c r="F1581" s="22" t="str">
        <f>"8119457811473"</f>
        <v>8119457811473</v>
      </c>
      <c r="G1581" s="75" t="str">
        <f>"১৩০৩০৬১৮১৩৪০"</f>
        <v>১৩০৩০৬১৮১৩৪০</v>
      </c>
      <c r="H1581" s="75" t="s">
        <v>371</v>
      </c>
      <c r="I1581" s="75" t="s">
        <v>371</v>
      </c>
      <c r="J1581" s="4"/>
    </row>
    <row r="1582" spans="1:10" x14ac:dyDescent="0.25">
      <c r="A1582" s="39">
        <v>1581</v>
      </c>
      <c r="B1582" s="3" t="s">
        <v>2935</v>
      </c>
      <c r="C1582" s="75" t="s">
        <v>444</v>
      </c>
      <c r="D1582" s="75" t="s">
        <v>440</v>
      </c>
      <c r="E1582" s="75" t="str">
        <f>"০১৭২৩-১০১০০১"</f>
        <v>০১৭২৩-১০১০০১</v>
      </c>
      <c r="F1582" s="22" t="str">
        <f>"8119457811158"</f>
        <v>8119457811158</v>
      </c>
      <c r="G1582" s="75" t="str">
        <f>"১৩০৩০৬১৮১৩৩৯"</f>
        <v>১৩০৩০৬১৮১৩৩৯</v>
      </c>
      <c r="H1582" s="75" t="s">
        <v>322</v>
      </c>
      <c r="I1582" s="75" t="s">
        <v>322</v>
      </c>
      <c r="J1582" s="4"/>
    </row>
    <row r="1583" spans="1:10" x14ac:dyDescent="0.25">
      <c r="A1583" s="39">
        <v>1582</v>
      </c>
      <c r="B1583" s="3" t="s">
        <v>2906</v>
      </c>
      <c r="C1583" s="75" t="s">
        <v>445</v>
      </c>
      <c r="D1583" s="75" t="s">
        <v>440</v>
      </c>
      <c r="E1583" s="75" t="str">
        <f>"০"</f>
        <v>০</v>
      </c>
      <c r="F1583" s="22" t="str">
        <f>"8119457811346"</f>
        <v>8119457811346</v>
      </c>
      <c r="G1583" s="75" t="str">
        <f>"১৩০৩০৬১৮১৩৩৮"</f>
        <v>১৩০৩০৬১৮১৩৩৮</v>
      </c>
      <c r="H1583" s="75" t="s">
        <v>319</v>
      </c>
      <c r="I1583" s="75" t="s">
        <v>319</v>
      </c>
      <c r="J1583" s="4"/>
    </row>
    <row r="1584" spans="1:10" x14ac:dyDescent="0.25">
      <c r="A1584" s="39">
        <v>1583</v>
      </c>
      <c r="B1584" s="3" t="s">
        <v>2831</v>
      </c>
      <c r="C1584" s="75" t="s">
        <v>445</v>
      </c>
      <c r="D1584" s="75" t="s">
        <v>440</v>
      </c>
      <c r="E1584" s="75" t="str">
        <f>"০"</f>
        <v>০</v>
      </c>
      <c r="F1584" s="22" t="str">
        <f>"8119457811345"</f>
        <v>8119457811345</v>
      </c>
      <c r="G1584" s="75" t="str">
        <f>"১৩০৩০৬১৮১৩৩৭"</f>
        <v>১৩০৩০৬১৮১৩৩৭</v>
      </c>
      <c r="H1584" s="75" t="s">
        <v>322</v>
      </c>
      <c r="I1584" s="75" t="s">
        <v>322</v>
      </c>
      <c r="J1584" s="4"/>
    </row>
    <row r="1585" spans="1:10" x14ac:dyDescent="0.25">
      <c r="A1585" s="39">
        <v>1584</v>
      </c>
      <c r="B1585" s="3" t="s">
        <v>446</v>
      </c>
      <c r="C1585" s="75" t="s">
        <v>447</v>
      </c>
      <c r="D1585" s="75" t="s">
        <v>440</v>
      </c>
      <c r="E1585" s="75" t="str">
        <f>"০"</f>
        <v>০</v>
      </c>
      <c r="F1585" s="22" t="str">
        <f>"8119457811344"</f>
        <v>8119457811344</v>
      </c>
      <c r="G1585" s="75" t="str">
        <f>"১৩০৩০৬১৮১৩৩৬"</f>
        <v>১৩০৩০৬১৮১৩৩৬</v>
      </c>
      <c r="H1585" s="75" t="s">
        <v>357</v>
      </c>
      <c r="I1585" s="75" t="s">
        <v>357</v>
      </c>
      <c r="J1585" s="4"/>
    </row>
    <row r="1586" spans="1:10" x14ac:dyDescent="0.25">
      <c r="A1586" s="39">
        <v>1585</v>
      </c>
      <c r="B1586" s="3" t="s">
        <v>2936</v>
      </c>
      <c r="C1586" s="75" t="s">
        <v>448</v>
      </c>
      <c r="D1586" s="75" t="s">
        <v>440</v>
      </c>
      <c r="E1586" s="75" t="str">
        <f>"০"</f>
        <v>০</v>
      </c>
      <c r="F1586" s="22" t="str">
        <f>"8119457411482"</f>
        <v>8119457411482</v>
      </c>
      <c r="G1586" s="75" t="str">
        <f>"১৩০৩০৬১৮১৩৩৫"</f>
        <v>১৩০৩০৬১৮১৩৩৫</v>
      </c>
      <c r="H1586" s="75" t="s">
        <v>392</v>
      </c>
      <c r="I1586" s="75" t="s">
        <v>392</v>
      </c>
      <c r="J1586" s="4"/>
    </row>
    <row r="1587" spans="1:10" x14ac:dyDescent="0.25">
      <c r="A1587" s="39">
        <v>1586</v>
      </c>
      <c r="B1587" s="3" t="s">
        <v>449</v>
      </c>
      <c r="C1587" s="75" t="s">
        <v>450</v>
      </c>
      <c r="D1587" s="75" t="s">
        <v>440</v>
      </c>
      <c r="E1587" s="75" t="str">
        <f>"০"</f>
        <v>০</v>
      </c>
      <c r="F1587" s="22" t="str">
        <f>"8119457811523"</f>
        <v>8119457811523</v>
      </c>
      <c r="G1587" s="75" t="str">
        <f>"১৩০৩০৬১৮১৩৩৪"</f>
        <v>১৩০৩০৬১৮১৩৩৪</v>
      </c>
      <c r="H1587" s="75" t="s">
        <v>371</v>
      </c>
      <c r="I1587" s="75" t="s">
        <v>371</v>
      </c>
      <c r="J1587" s="4"/>
    </row>
    <row r="1588" spans="1:10" x14ac:dyDescent="0.25">
      <c r="A1588" s="39">
        <v>1587</v>
      </c>
      <c r="B1588" s="3" t="s">
        <v>2604</v>
      </c>
      <c r="C1588" s="75" t="s">
        <v>2937</v>
      </c>
      <c r="D1588" s="75" t="s">
        <v>440</v>
      </c>
      <c r="E1588" s="75" t="str">
        <f>"০১৭৬৮-০৬১৮৩৫"</f>
        <v>০১৭৬৮-০৬১৮৩৫</v>
      </c>
      <c r="F1588" s="22" t="str">
        <f>"8119457821356"</f>
        <v>8119457821356</v>
      </c>
      <c r="G1588" s="75" t="str">
        <f>"১৩০৩০৬১৮১৩৩৩"</f>
        <v>১৩০৩০৬১৮১৩৩৩</v>
      </c>
      <c r="H1588" s="75" t="s">
        <v>318</v>
      </c>
      <c r="I1588" s="75" t="s">
        <v>318</v>
      </c>
      <c r="J1588" s="4"/>
    </row>
    <row r="1589" spans="1:10" x14ac:dyDescent="0.25">
      <c r="A1589" s="39">
        <v>1588</v>
      </c>
      <c r="B1589" s="3" t="s">
        <v>451</v>
      </c>
      <c r="C1589" s="75" t="s">
        <v>452</v>
      </c>
      <c r="D1589" s="75" t="s">
        <v>440</v>
      </c>
      <c r="E1589" s="75" t="str">
        <f>"০১৭৫৪-০১৯৪৮২"</f>
        <v>০১৭৫৪-০১৯৪৮২</v>
      </c>
      <c r="F1589" s="22" t="str">
        <f>"8119457000332"</f>
        <v>8119457000332</v>
      </c>
      <c r="G1589" s="75" t="str">
        <f>"১৩০৩০৬১৮১৩৩২"</f>
        <v>১৩০৩০৬১৮১৩৩২</v>
      </c>
      <c r="H1589" s="75" t="s">
        <v>392</v>
      </c>
      <c r="I1589" s="75" t="s">
        <v>392</v>
      </c>
      <c r="J1589" s="4"/>
    </row>
    <row r="1590" spans="1:10" x14ac:dyDescent="0.25">
      <c r="A1590" s="39">
        <v>1589</v>
      </c>
      <c r="B1590" s="3" t="s">
        <v>2938</v>
      </c>
      <c r="C1590" s="75" t="s">
        <v>2937</v>
      </c>
      <c r="D1590" s="75" t="s">
        <v>440</v>
      </c>
      <c r="E1590" s="75" t="str">
        <f>"০১৭২৩-৬৪৪৫০০"</f>
        <v>০১৭২৩-৬৪৪৫০০</v>
      </c>
      <c r="F1590" s="22" t="str">
        <f>"8119457811357"</f>
        <v>8119457811357</v>
      </c>
      <c r="G1590" s="75" t="str">
        <f>"১৩০৩০৬১৮১৩৩১"</f>
        <v>১৩০৩০৬১৮১৩৩১</v>
      </c>
      <c r="H1590" s="75" t="s">
        <v>385</v>
      </c>
      <c r="I1590" s="75" t="s">
        <v>385</v>
      </c>
      <c r="J1590" s="4"/>
    </row>
    <row r="1591" spans="1:10" x14ac:dyDescent="0.25">
      <c r="A1591" s="39">
        <v>1590</v>
      </c>
      <c r="B1591" s="3" t="s">
        <v>34</v>
      </c>
      <c r="C1591" s="75" t="s">
        <v>2939</v>
      </c>
      <c r="D1591" s="75" t="s">
        <v>453</v>
      </c>
      <c r="E1591" s="75" t="str">
        <f t="shared" ref="E1591:E1614" si="30">"০"</f>
        <v>০</v>
      </c>
      <c r="F1591" s="22" t="str">
        <f t="shared" ref="F1591:F1598" si="31">"81194578"</f>
        <v>81194578</v>
      </c>
      <c r="G1591" s="75" t="str">
        <f>"১৩০৩০৬১৮১৪২১"</f>
        <v>১৩০৩০৬১৮১৪২১</v>
      </c>
      <c r="H1591" s="75" t="s">
        <v>323</v>
      </c>
      <c r="I1591" s="75" t="s">
        <v>323</v>
      </c>
      <c r="J1591" s="4"/>
    </row>
    <row r="1592" spans="1:10" x14ac:dyDescent="0.25">
      <c r="A1592" s="39">
        <v>1591</v>
      </c>
      <c r="B1592" s="3" t="s">
        <v>454</v>
      </c>
      <c r="C1592" s="75" t="s">
        <v>455</v>
      </c>
      <c r="D1592" s="75" t="s">
        <v>453</v>
      </c>
      <c r="E1592" s="75" t="str">
        <f t="shared" si="30"/>
        <v>০</v>
      </c>
      <c r="F1592" s="22" t="str">
        <f t="shared" si="31"/>
        <v>81194578</v>
      </c>
      <c r="G1592" s="75" t="str">
        <f>"১৩০৩০৬১৮১৪২০"</f>
        <v>১৩০৩০৬১৮১৪২০</v>
      </c>
      <c r="H1592" s="75" t="s">
        <v>456</v>
      </c>
      <c r="I1592" s="75" t="s">
        <v>456</v>
      </c>
      <c r="J1592" s="4"/>
    </row>
    <row r="1593" spans="1:10" x14ac:dyDescent="0.25">
      <c r="A1593" s="39">
        <v>1592</v>
      </c>
      <c r="B1593" s="3" t="s">
        <v>2940</v>
      </c>
      <c r="C1593" s="75" t="s">
        <v>2941</v>
      </c>
      <c r="D1593" s="75" t="s">
        <v>453</v>
      </c>
      <c r="E1593" s="75" t="str">
        <f t="shared" si="30"/>
        <v>০</v>
      </c>
      <c r="F1593" s="22" t="str">
        <f t="shared" si="31"/>
        <v>81194578</v>
      </c>
      <c r="G1593" s="75" t="str">
        <f>"১৩০৩০৬১৮১৪১৯"</f>
        <v>১৩০৩০৬১৮১৪১৯</v>
      </c>
      <c r="H1593" s="75" t="s">
        <v>371</v>
      </c>
      <c r="I1593" s="75" t="s">
        <v>371</v>
      </c>
      <c r="J1593" s="4"/>
    </row>
    <row r="1594" spans="1:10" x14ac:dyDescent="0.25">
      <c r="A1594" s="39">
        <v>1593</v>
      </c>
      <c r="B1594" s="3" t="s">
        <v>457</v>
      </c>
      <c r="C1594" s="75" t="s">
        <v>458</v>
      </c>
      <c r="D1594" s="75" t="s">
        <v>453</v>
      </c>
      <c r="E1594" s="75" t="str">
        <f t="shared" si="30"/>
        <v>০</v>
      </c>
      <c r="F1594" s="22" t="str">
        <f t="shared" si="31"/>
        <v>81194578</v>
      </c>
      <c r="G1594" s="75" t="str">
        <f>"১৩০৩০৬১৮১৪১৮"</f>
        <v>১৩০৩০৬১৮১৪১৮</v>
      </c>
      <c r="H1594" s="75" t="s">
        <v>371</v>
      </c>
      <c r="I1594" s="75" t="s">
        <v>371</v>
      </c>
      <c r="J1594" s="4"/>
    </row>
    <row r="1595" spans="1:10" x14ac:dyDescent="0.25">
      <c r="A1595" s="39">
        <v>1594</v>
      </c>
      <c r="B1595" s="3" t="s">
        <v>275</v>
      </c>
      <c r="C1595" s="75" t="s">
        <v>459</v>
      </c>
      <c r="D1595" s="75" t="s">
        <v>453</v>
      </c>
      <c r="E1595" s="75" t="str">
        <f t="shared" si="30"/>
        <v>০</v>
      </c>
      <c r="F1595" s="22" t="str">
        <f t="shared" si="31"/>
        <v>81194578</v>
      </c>
      <c r="G1595" s="75" t="str">
        <f>"১৩০৩০৬১৮১৪১৭"</f>
        <v>১৩০৩০৬১৮১৪১৭</v>
      </c>
      <c r="H1595" s="75" t="s">
        <v>460</v>
      </c>
      <c r="I1595" s="75" t="s">
        <v>460</v>
      </c>
      <c r="J1595" s="4"/>
    </row>
    <row r="1596" spans="1:10" x14ac:dyDescent="0.25">
      <c r="A1596" s="39">
        <v>1595</v>
      </c>
      <c r="B1596" s="3" t="s">
        <v>461</v>
      </c>
      <c r="C1596" s="75" t="s">
        <v>462</v>
      </c>
      <c r="D1596" s="75" t="s">
        <v>453</v>
      </c>
      <c r="E1596" s="75" t="str">
        <f t="shared" si="30"/>
        <v>০</v>
      </c>
      <c r="F1596" s="22" t="str">
        <f t="shared" si="31"/>
        <v>81194578</v>
      </c>
      <c r="G1596" s="75" t="str">
        <f>"১৩০৩০৬১৮১৪১৬"</f>
        <v>১৩০৩০৬১৮১৪১৬</v>
      </c>
      <c r="H1596" s="75" t="s">
        <v>329</v>
      </c>
      <c r="I1596" s="75" t="s">
        <v>329</v>
      </c>
      <c r="J1596" s="4"/>
    </row>
    <row r="1597" spans="1:10" x14ac:dyDescent="0.25">
      <c r="A1597" s="39">
        <v>1596</v>
      </c>
      <c r="B1597" s="3" t="s">
        <v>463</v>
      </c>
      <c r="C1597" s="75" t="s">
        <v>462</v>
      </c>
      <c r="D1597" s="75" t="s">
        <v>453</v>
      </c>
      <c r="E1597" s="75" t="str">
        <f t="shared" si="30"/>
        <v>০</v>
      </c>
      <c r="F1597" s="22" t="str">
        <f t="shared" si="31"/>
        <v>81194578</v>
      </c>
      <c r="G1597" s="75" t="str">
        <f>"১৩০৩০৬১৮১৪১৫"</f>
        <v>১৩০৩০৬১৮১৪১৫</v>
      </c>
      <c r="H1597" s="75" t="s">
        <v>319</v>
      </c>
      <c r="I1597" s="75" t="s">
        <v>319</v>
      </c>
      <c r="J1597" s="4"/>
    </row>
    <row r="1598" spans="1:10" x14ac:dyDescent="0.25">
      <c r="A1598" s="39">
        <v>1597</v>
      </c>
      <c r="B1598" s="3" t="s">
        <v>464</v>
      </c>
      <c r="C1598" s="75" t="s">
        <v>462</v>
      </c>
      <c r="D1598" s="75" t="s">
        <v>453</v>
      </c>
      <c r="E1598" s="75" t="str">
        <f t="shared" si="30"/>
        <v>০</v>
      </c>
      <c r="F1598" s="22" t="str">
        <f t="shared" si="31"/>
        <v>81194578</v>
      </c>
      <c r="G1598" s="75" t="str">
        <f>"১৩০৩০৬১৮১৪১৪"</f>
        <v>১৩০৩০৬১৮১৪১৪</v>
      </c>
      <c r="H1598" s="75" t="s">
        <v>322</v>
      </c>
      <c r="I1598" s="75" t="s">
        <v>322</v>
      </c>
      <c r="J1598" s="4"/>
    </row>
    <row r="1599" spans="1:10" x14ac:dyDescent="0.25">
      <c r="A1599" s="39">
        <v>1598</v>
      </c>
      <c r="B1599" s="3" t="s">
        <v>1830</v>
      </c>
      <c r="C1599" s="75" t="s">
        <v>2942</v>
      </c>
      <c r="D1599" s="75" t="s">
        <v>453</v>
      </c>
      <c r="E1599" s="75" t="str">
        <f t="shared" si="30"/>
        <v>০</v>
      </c>
      <c r="F1599" s="22" t="str">
        <f>"8119457812298"</f>
        <v>8119457812298</v>
      </c>
      <c r="G1599" s="75" t="str">
        <f>"১৩০৩০৬১৮১৪১৩"</f>
        <v>১৩০৩০৬১৮১৪১৩</v>
      </c>
      <c r="H1599" s="75" t="s">
        <v>323</v>
      </c>
      <c r="I1599" s="75" t="s">
        <v>323</v>
      </c>
      <c r="J1599" s="4"/>
    </row>
    <row r="1600" spans="1:10" x14ac:dyDescent="0.25">
      <c r="A1600" s="39">
        <v>1599</v>
      </c>
      <c r="B1600" s="3" t="s">
        <v>351</v>
      </c>
      <c r="C1600" s="75" t="s">
        <v>465</v>
      </c>
      <c r="D1600" s="75" t="s">
        <v>466</v>
      </c>
      <c r="E1600" s="75" t="str">
        <f t="shared" si="30"/>
        <v>০</v>
      </c>
      <c r="F1600" s="22" t="str">
        <f>"8119457810465"</f>
        <v>8119457810465</v>
      </c>
      <c r="G1600" s="75" t="str">
        <f>"১৩০৩০৬১৮১২৫৩"</f>
        <v>১৩০৩০৬১৮১২৫৩</v>
      </c>
      <c r="H1600" s="75" t="s">
        <v>467</v>
      </c>
      <c r="I1600" s="75" t="s">
        <v>467</v>
      </c>
      <c r="J1600" s="4"/>
    </row>
    <row r="1601" spans="1:10" x14ac:dyDescent="0.25">
      <c r="A1601" s="39">
        <v>1600</v>
      </c>
      <c r="B1601" s="3" t="s">
        <v>468</v>
      </c>
      <c r="C1601" s="75" t="s">
        <v>469</v>
      </c>
      <c r="D1601" s="75" t="s">
        <v>466</v>
      </c>
      <c r="E1601" s="75" t="str">
        <f t="shared" si="30"/>
        <v>০</v>
      </c>
      <c r="F1601" s="22" t="str">
        <f>"8119457000237"</f>
        <v>8119457000237</v>
      </c>
      <c r="G1601" s="75" t="str">
        <f>"১৩০৩০৬১৮১২৫২"</f>
        <v>১৩০৩০৬১৮১২৫২</v>
      </c>
      <c r="H1601" s="75" t="s">
        <v>392</v>
      </c>
      <c r="I1601" s="75" t="s">
        <v>392</v>
      </c>
      <c r="J1601" s="4"/>
    </row>
    <row r="1602" spans="1:10" x14ac:dyDescent="0.25">
      <c r="A1602" s="39">
        <v>1601</v>
      </c>
      <c r="B1602" s="3" t="s">
        <v>470</v>
      </c>
      <c r="C1602" s="75" t="s">
        <v>471</v>
      </c>
      <c r="D1602" s="75" t="s">
        <v>466</v>
      </c>
      <c r="E1602" s="75" t="str">
        <f t="shared" si="30"/>
        <v>০</v>
      </c>
      <c r="F1602" s="22" t="str">
        <f>"8119457810700"</f>
        <v>8119457810700</v>
      </c>
      <c r="G1602" s="75" t="str">
        <f>"১৩০৩০৬১৮১২৫১"</f>
        <v>১৩০৩০৬১৮১২৫১</v>
      </c>
      <c r="H1602" s="75" t="s">
        <v>472</v>
      </c>
      <c r="I1602" s="75" t="s">
        <v>472</v>
      </c>
      <c r="J1602" s="4"/>
    </row>
    <row r="1603" spans="1:10" x14ac:dyDescent="0.25">
      <c r="A1603" s="39">
        <v>1602</v>
      </c>
      <c r="B1603" s="3" t="s">
        <v>473</v>
      </c>
      <c r="C1603" s="75" t="s">
        <v>471</v>
      </c>
      <c r="D1603" s="75" t="s">
        <v>466</v>
      </c>
      <c r="E1603" s="75" t="str">
        <f t="shared" si="30"/>
        <v>০</v>
      </c>
      <c r="F1603" s="22" t="str">
        <f>"81194578110701"</f>
        <v>81194578110701</v>
      </c>
      <c r="G1603" s="75" t="str">
        <f>"১৩০৩০৬১৮১২০০"</f>
        <v>১৩০৩০৬১৮১২০০</v>
      </c>
      <c r="H1603" s="75" t="s">
        <v>321</v>
      </c>
      <c r="I1603" s="75" t="s">
        <v>321</v>
      </c>
      <c r="J1603" s="4"/>
    </row>
    <row r="1604" spans="1:10" x14ac:dyDescent="0.25">
      <c r="A1604" s="39">
        <v>1603</v>
      </c>
      <c r="B1604" s="3" t="s">
        <v>2943</v>
      </c>
      <c r="C1604" s="75" t="s">
        <v>474</v>
      </c>
      <c r="D1604" s="75" t="s">
        <v>466</v>
      </c>
      <c r="E1604" s="75" t="str">
        <f t="shared" si="30"/>
        <v>০</v>
      </c>
      <c r="F1604" s="22" t="str">
        <f>"8119457007288"</f>
        <v>8119457007288</v>
      </c>
      <c r="G1604" s="75" t="str">
        <f>"১৩০৩০৬১৮১০১২"</f>
        <v>১৩০৩০৬১৮১০১২</v>
      </c>
      <c r="H1604" s="75" t="s">
        <v>460</v>
      </c>
      <c r="I1604" s="75" t="s">
        <v>460</v>
      </c>
      <c r="J1604" s="4"/>
    </row>
    <row r="1605" spans="1:10" x14ac:dyDescent="0.25">
      <c r="A1605" s="39">
        <v>1604</v>
      </c>
      <c r="B1605" s="3" t="s">
        <v>475</v>
      </c>
      <c r="C1605" s="75" t="s">
        <v>2933</v>
      </c>
      <c r="D1605" s="75" t="s">
        <v>466</v>
      </c>
      <c r="E1605" s="75" t="str">
        <f t="shared" si="30"/>
        <v>০</v>
      </c>
      <c r="F1605" s="22" t="str">
        <f>"8119457812418"</f>
        <v>8119457812418</v>
      </c>
      <c r="G1605" s="75" t="str">
        <f>"১৩০৩০৬১৮১০১১"</f>
        <v>১৩০৩০৬১৮১০১১</v>
      </c>
      <c r="H1605" s="75" t="s">
        <v>322</v>
      </c>
      <c r="I1605" s="75" t="s">
        <v>322</v>
      </c>
      <c r="J1605" s="4"/>
    </row>
    <row r="1606" spans="1:10" x14ac:dyDescent="0.25">
      <c r="A1606" s="39">
        <v>1605</v>
      </c>
      <c r="B1606" s="3" t="s">
        <v>476</v>
      </c>
      <c r="C1606" s="75" t="s">
        <v>477</v>
      </c>
      <c r="D1606" s="75" t="s">
        <v>466</v>
      </c>
      <c r="E1606" s="75" t="str">
        <f t="shared" si="30"/>
        <v>০</v>
      </c>
      <c r="F1606" s="22" t="str">
        <f>"8119457000004"</f>
        <v>8119457000004</v>
      </c>
      <c r="G1606" s="75" t="str">
        <f>"১৩০৩০৬১৮১০১০"</f>
        <v>১৩০৩০৬১৮১০১০</v>
      </c>
      <c r="H1606" s="75" t="s">
        <v>460</v>
      </c>
      <c r="I1606" s="75" t="s">
        <v>460</v>
      </c>
      <c r="J1606" s="4"/>
    </row>
    <row r="1607" spans="1:10" x14ac:dyDescent="0.25">
      <c r="A1607" s="39">
        <v>1606</v>
      </c>
      <c r="B1607" s="3" t="s">
        <v>478</v>
      </c>
      <c r="C1607" s="75" t="s">
        <v>479</v>
      </c>
      <c r="D1607" s="75" t="s">
        <v>466</v>
      </c>
      <c r="E1607" s="75" t="str">
        <f t="shared" si="30"/>
        <v>০</v>
      </c>
      <c r="F1607" s="22" t="str">
        <f>"8119457810902"</f>
        <v>8119457810902</v>
      </c>
      <c r="G1607" s="75" t="str">
        <f>"১৩০৩০৬১৮১০০৯"</f>
        <v>১৩০৩০৬১৮১০০৯</v>
      </c>
      <c r="H1607" s="75" t="s">
        <v>319</v>
      </c>
      <c r="I1607" s="75" t="s">
        <v>319</v>
      </c>
      <c r="J1607" s="4"/>
    </row>
    <row r="1608" spans="1:10" x14ac:dyDescent="0.25">
      <c r="A1608" s="39">
        <v>1607</v>
      </c>
      <c r="B1608" s="3" t="s">
        <v>480</v>
      </c>
      <c r="C1608" s="75" t="s">
        <v>481</v>
      </c>
      <c r="D1608" s="75" t="s">
        <v>466</v>
      </c>
      <c r="E1608" s="75" t="str">
        <f t="shared" si="30"/>
        <v>০</v>
      </c>
      <c r="F1608" s="22" t="str">
        <f>"81194578110544"</f>
        <v>81194578110544</v>
      </c>
      <c r="G1608" s="75" t="str">
        <f>"১৩০৩০৬১৮১০০৮"</f>
        <v>১৩০৩০৬১৮১০০৮</v>
      </c>
      <c r="H1608" s="75" t="s">
        <v>371</v>
      </c>
      <c r="I1608" s="75" t="s">
        <v>371</v>
      </c>
      <c r="J1608" s="4"/>
    </row>
    <row r="1609" spans="1:10" x14ac:dyDescent="0.25">
      <c r="A1609" s="39">
        <v>1608</v>
      </c>
      <c r="B1609" s="3" t="s">
        <v>482</v>
      </c>
      <c r="C1609" s="75" t="s">
        <v>483</v>
      </c>
      <c r="D1609" s="75" t="s">
        <v>466</v>
      </c>
      <c r="E1609" s="75" t="str">
        <f t="shared" si="30"/>
        <v>০</v>
      </c>
      <c r="F1609" s="22" t="str">
        <f>"8119457810760"</f>
        <v>8119457810760</v>
      </c>
      <c r="G1609" s="75" t="str">
        <f>"১৩০৩০৬১৮১০০৭"</f>
        <v>১৩০৩০৬১৮১০০৭</v>
      </c>
      <c r="H1609" s="75" t="s">
        <v>357</v>
      </c>
      <c r="I1609" s="75" t="s">
        <v>357</v>
      </c>
      <c r="J1609" s="4"/>
    </row>
    <row r="1610" spans="1:10" x14ac:dyDescent="0.25">
      <c r="A1610" s="39">
        <v>1609</v>
      </c>
      <c r="B1610" s="3" t="s">
        <v>484</v>
      </c>
      <c r="C1610" s="75" t="s">
        <v>485</v>
      </c>
      <c r="D1610" s="75" t="s">
        <v>466</v>
      </c>
      <c r="E1610" s="75" t="str">
        <f t="shared" si="30"/>
        <v>০</v>
      </c>
      <c r="F1610" s="22" t="str">
        <f>"8119457910622"</f>
        <v>8119457910622</v>
      </c>
      <c r="G1610" s="75" t="str">
        <f>"১৩০৩০৬১৮১০০৬"</f>
        <v>১৩০৩০৬১৮১০০৬</v>
      </c>
      <c r="H1610" s="75" t="s">
        <v>486</v>
      </c>
      <c r="I1610" s="75" t="s">
        <v>486</v>
      </c>
      <c r="J1610" s="4"/>
    </row>
    <row r="1611" spans="1:10" x14ac:dyDescent="0.25">
      <c r="A1611" s="39">
        <v>1610</v>
      </c>
      <c r="B1611" s="3" t="s">
        <v>487</v>
      </c>
      <c r="C1611" s="75" t="s">
        <v>488</v>
      </c>
      <c r="D1611" s="75" t="s">
        <v>489</v>
      </c>
      <c r="E1611" s="75" t="str">
        <f t="shared" si="30"/>
        <v>০</v>
      </c>
      <c r="F1611" s="22" t="str">
        <f>"8119457811796"</f>
        <v>8119457811796</v>
      </c>
      <c r="G1611" s="75" t="str">
        <f>"১৩০৩০৬১৮১৪৮৪"</f>
        <v>১৩০৩০৬১৮১৪৮৪</v>
      </c>
      <c r="H1611" s="75" t="s">
        <v>371</v>
      </c>
      <c r="I1611" s="75" t="s">
        <v>371</v>
      </c>
      <c r="J1611" s="4"/>
    </row>
    <row r="1612" spans="1:10" x14ac:dyDescent="0.25">
      <c r="A1612" s="39">
        <v>1611</v>
      </c>
      <c r="B1612" s="3" t="s">
        <v>2861</v>
      </c>
      <c r="C1612" s="75" t="s">
        <v>490</v>
      </c>
      <c r="D1612" s="75" t="s">
        <v>489</v>
      </c>
      <c r="E1612" s="75" t="str">
        <f t="shared" si="30"/>
        <v>০</v>
      </c>
      <c r="F1612" s="22" t="str">
        <f>"8119457811721"</f>
        <v>8119457811721</v>
      </c>
      <c r="G1612" s="75" t="str">
        <f>"১৩০৩০৬১৮১৪৮৩"</f>
        <v>১৩০৩০৬১৮১৪৮৩</v>
      </c>
      <c r="H1612" s="75" t="s">
        <v>371</v>
      </c>
      <c r="I1612" s="75" t="s">
        <v>371</v>
      </c>
      <c r="J1612" s="4"/>
    </row>
    <row r="1613" spans="1:10" x14ac:dyDescent="0.25">
      <c r="A1613" s="39">
        <v>1612</v>
      </c>
      <c r="B1613" s="3" t="s">
        <v>491</v>
      </c>
      <c r="C1613" s="75" t="s">
        <v>492</v>
      </c>
      <c r="D1613" s="75" t="s">
        <v>489</v>
      </c>
      <c r="E1613" s="75" t="str">
        <f t="shared" si="30"/>
        <v>০</v>
      </c>
      <c r="F1613" s="22" t="str">
        <f>"8119457812015"</f>
        <v>8119457812015</v>
      </c>
      <c r="G1613" s="75" t="str">
        <f>"১৩০৩০৬১৮১৪৮২"</f>
        <v>১৩০৩০৬১৮১৪৮২</v>
      </c>
      <c r="H1613" s="75" t="s">
        <v>385</v>
      </c>
      <c r="I1613" s="75" t="s">
        <v>385</v>
      </c>
      <c r="J1613" s="4"/>
    </row>
    <row r="1614" spans="1:10" x14ac:dyDescent="0.25">
      <c r="A1614" s="39">
        <v>1613</v>
      </c>
      <c r="B1614" s="3" t="s">
        <v>493</v>
      </c>
      <c r="C1614" s="75" t="s">
        <v>494</v>
      </c>
      <c r="D1614" s="75" t="s">
        <v>489</v>
      </c>
      <c r="E1614" s="75" t="str">
        <f t="shared" si="30"/>
        <v>০</v>
      </c>
      <c r="F1614" s="22" t="str">
        <f>"8119457811910"</f>
        <v>8119457811910</v>
      </c>
      <c r="G1614" s="75" t="str">
        <f>"১৩০৩০৬১৮১৪৮১"</f>
        <v>১৩০৩০৬১৮১৪৮১</v>
      </c>
      <c r="H1614" s="75" t="s">
        <v>495</v>
      </c>
      <c r="I1614" s="75" t="s">
        <v>495</v>
      </c>
      <c r="J1614" s="4"/>
    </row>
    <row r="1615" spans="1:10" x14ac:dyDescent="0.25">
      <c r="A1615" s="39">
        <v>1614</v>
      </c>
      <c r="B1615" s="3" t="s">
        <v>496</v>
      </c>
      <c r="C1615" s="75" t="s">
        <v>497</v>
      </c>
      <c r="D1615" s="75" t="s">
        <v>498</v>
      </c>
      <c r="E1615" s="75" t="str">
        <f>"০১৭২২-৮৩৩২৮১"</f>
        <v>০১৭২২-৮৩৩২৮১</v>
      </c>
      <c r="F1615" s="22" t="str">
        <f>"8119457774879"</f>
        <v>8119457774879</v>
      </c>
      <c r="G1615" s="75" t="str">
        <f>"১৩০৩০৬১৮০৩৪৩"</f>
        <v>১৩০৩০৬১৮০৩৪৩</v>
      </c>
      <c r="H1615" s="75" t="s">
        <v>322</v>
      </c>
      <c r="I1615" s="75" t="s">
        <v>322</v>
      </c>
      <c r="J1615" s="4"/>
    </row>
    <row r="1616" spans="1:10" x14ac:dyDescent="0.25">
      <c r="A1616" s="39">
        <v>1615</v>
      </c>
      <c r="B1616" s="3" t="s">
        <v>499</v>
      </c>
      <c r="C1616" s="75" t="s">
        <v>2944</v>
      </c>
      <c r="D1616" s="75" t="s">
        <v>498</v>
      </c>
      <c r="E1616" s="75" t="str">
        <f>"০১৭১০-৭২৯৩৭৪"</f>
        <v>০১৭১০-৭২৯৩৭৪</v>
      </c>
      <c r="F1616" s="22" t="str">
        <f>"8119457774777"</f>
        <v>8119457774777</v>
      </c>
      <c r="G1616" s="75" t="str">
        <f>"১৩০৩০৬১৮০৩৪২"</f>
        <v>১৩০৩০৬১৮০৩৪২</v>
      </c>
      <c r="H1616" s="75" t="s">
        <v>346</v>
      </c>
      <c r="I1616" s="75" t="s">
        <v>346</v>
      </c>
      <c r="J1616" s="4"/>
    </row>
    <row r="1617" spans="1:10" x14ac:dyDescent="0.25">
      <c r="A1617" s="39">
        <v>1616</v>
      </c>
      <c r="B1617" s="3" t="s">
        <v>500</v>
      </c>
      <c r="C1617" s="75" t="s">
        <v>501</v>
      </c>
      <c r="D1617" s="75" t="s">
        <v>498</v>
      </c>
      <c r="E1617" s="75" t="str">
        <f>"০১৭৩১-২৫৬১৮২"</f>
        <v>০১৭৩১-২৫৬১৮২</v>
      </c>
      <c r="F1617" s="22" t="str">
        <f>"8119457774776"</f>
        <v>8119457774776</v>
      </c>
      <c r="G1617" s="75" t="str">
        <f>"১৩০৩০৬১৮০৩৪১"</f>
        <v>১৩০৩০৬১৮০৩৪১</v>
      </c>
      <c r="H1617" s="75" t="s">
        <v>319</v>
      </c>
      <c r="I1617" s="75" t="s">
        <v>319</v>
      </c>
      <c r="J1617" s="4"/>
    </row>
    <row r="1618" spans="1:10" x14ac:dyDescent="0.25">
      <c r="A1618" s="39">
        <v>1617</v>
      </c>
      <c r="B1618" s="3" t="s">
        <v>502</v>
      </c>
      <c r="C1618" s="75" t="s">
        <v>503</v>
      </c>
      <c r="D1618" s="75" t="s">
        <v>498</v>
      </c>
      <c r="E1618" s="75" t="str">
        <f>"০১৭১১-৩১২২১১"</f>
        <v>০১৭১১-৩১২২১১</v>
      </c>
      <c r="F1618" s="22" t="str">
        <f>"8119457774930"</f>
        <v>8119457774930</v>
      </c>
      <c r="G1618" s="75" t="str">
        <f>"১৩০৩০৬১৮০৩৪০"</f>
        <v>১৩০৩০৬১৮০৩৪০</v>
      </c>
      <c r="H1618" s="75" t="s">
        <v>323</v>
      </c>
      <c r="I1618" s="75" t="s">
        <v>323</v>
      </c>
      <c r="J1618" s="4"/>
    </row>
    <row r="1619" spans="1:10" x14ac:dyDescent="0.25">
      <c r="A1619" s="39">
        <v>1618</v>
      </c>
      <c r="B1619" s="3" t="s">
        <v>2945</v>
      </c>
      <c r="C1619" s="75" t="s">
        <v>504</v>
      </c>
      <c r="D1619" s="75" t="s">
        <v>498</v>
      </c>
      <c r="E1619" s="75" t="str">
        <f>"০১৭৩২-৩৬৬৪৯৬"</f>
        <v>০১৭৩২-৩৬৬৪৯৬</v>
      </c>
      <c r="F1619" s="22" t="str">
        <f>"8119457774833"</f>
        <v>8119457774833</v>
      </c>
      <c r="G1619" s="75" t="str">
        <f>"১৩০৩০৬১৮০৩৩৯"</f>
        <v>১৩০৩০৬১৮০৩৩৯</v>
      </c>
      <c r="H1619" s="75" t="s">
        <v>346</v>
      </c>
      <c r="I1619" s="75" t="s">
        <v>346</v>
      </c>
      <c r="J1619" s="4"/>
    </row>
    <row r="1620" spans="1:10" x14ac:dyDescent="0.25">
      <c r="A1620" s="39">
        <v>1619</v>
      </c>
      <c r="B1620" s="3" t="s">
        <v>2831</v>
      </c>
      <c r="C1620" s="75" t="s">
        <v>505</v>
      </c>
      <c r="D1620" s="75" t="s">
        <v>498</v>
      </c>
      <c r="E1620" s="75" t="str">
        <f>"০১৭৬৩-৭৫১২৭৫"</f>
        <v>০১৭৬৩-৭৫১২৭৫</v>
      </c>
      <c r="F1620" s="22" t="str">
        <f>"8119457774960"</f>
        <v>8119457774960</v>
      </c>
      <c r="G1620" s="75" t="str">
        <f>"১৩০৩০৬১৮০৩৩৮"</f>
        <v>১৩০৩০৬১৮০৩৩৮</v>
      </c>
      <c r="H1620" s="75" t="s">
        <v>362</v>
      </c>
      <c r="I1620" s="75" t="s">
        <v>362</v>
      </c>
      <c r="J1620" s="4"/>
    </row>
    <row r="1621" spans="1:10" x14ac:dyDescent="0.25">
      <c r="A1621" s="39">
        <v>1620</v>
      </c>
      <c r="B1621" s="3" t="s">
        <v>2946</v>
      </c>
      <c r="C1621" s="75" t="s">
        <v>2947</v>
      </c>
      <c r="D1621" s="75" t="s">
        <v>498</v>
      </c>
      <c r="E1621" s="75" t="str">
        <f>"০"</f>
        <v>০</v>
      </c>
      <c r="F1621" s="22" t="str">
        <f>"8119457810196"</f>
        <v>8119457810196</v>
      </c>
      <c r="G1621" s="75" t="str">
        <f>"১৩০৩০৬১৮০৩৩৭"</f>
        <v>১৩০৩০৬১৮০৩৩৭</v>
      </c>
      <c r="H1621" s="75" t="s">
        <v>322</v>
      </c>
      <c r="I1621" s="75" t="s">
        <v>322</v>
      </c>
      <c r="J1621" s="4"/>
    </row>
    <row r="1622" spans="1:10" x14ac:dyDescent="0.25">
      <c r="A1622" s="39">
        <v>1621</v>
      </c>
      <c r="B1622" s="3" t="s">
        <v>506</v>
      </c>
      <c r="C1622" s="75" t="s">
        <v>507</v>
      </c>
      <c r="D1622" s="75" t="s">
        <v>498</v>
      </c>
      <c r="E1622" s="75" t="str">
        <f>"০১৭৩৬-৪৯৭৩৭৬"</f>
        <v>০১৭৩৬-৪৯৭৩৭৬</v>
      </c>
      <c r="F1622" s="22" t="str">
        <f>"8119457774792"</f>
        <v>8119457774792</v>
      </c>
      <c r="G1622" s="75" t="str">
        <f>"১৩০৩০৬১৮০৩৩৬"</f>
        <v>১৩০৩০৬১৮০৩৩৬</v>
      </c>
      <c r="H1622" s="75" t="s">
        <v>346</v>
      </c>
      <c r="I1622" s="75" t="s">
        <v>346</v>
      </c>
      <c r="J1622" s="4"/>
    </row>
    <row r="1623" spans="1:10" x14ac:dyDescent="0.25">
      <c r="A1623" s="39">
        <v>1622</v>
      </c>
      <c r="B1623" s="3" t="s">
        <v>508</v>
      </c>
      <c r="C1623" s="75" t="s">
        <v>509</v>
      </c>
      <c r="D1623" s="75" t="s">
        <v>498</v>
      </c>
      <c r="E1623" s="75" t="str">
        <f>"০১৭৩৬-৪১০১৯৪"</f>
        <v>০১৭৩৬-৪১০১৯৪</v>
      </c>
      <c r="F1623" s="22" t="str">
        <f>"8119457774787"</f>
        <v>8119457774787</v>
      </c>
      <c r="G1623" s="75" t="str">
        <f>"১৩০৩০৬১৮০৩৩৫"</f>
        <v>১৩০৩০৬১৮০৩৩৫</v>
      </c>
      <c r="H1623" s="75" t="s">
        <v>362</v>
      </c>
      <c r="I1623" s="75" t="s">
        <v>362</v>
      </c>
      <c r="J1623" s="4"/>
    </row>
    <row r="1624" spans="1:10" x14ac:dyDescent="0.25">
      <c r="A1624" s="39">
        <v>1623</v>
      </c>
      <c r="B1624" s="3" t="s">
        <v>2948</v>
      </c>
      <c r="C1624" s="75" t="s">
        <v>510</v>
      </c>
      <c r="D1624" s="75" t="s">
        <v>498</v>
      </c>
      <c r="E1624" s="75" t="str">
        <f>"০১৭১৯-৬৪৯০১৭"</f>
        <v>০১৭১৯-৬৪৯০১৭</v>
      </c>
      <c r="F1624" s="22" t="str">
        <f>"8119457000295"</f>
        <v>8119457000295</v>
      </c>
      <c r="G1624" s="75" t="str">
        <f>"১৩০৩০৬১৮০৩৩৪"</f>
        <v>১৩০৩০৬১৮০৩৩৪</v>
      </c>
      <c r="H1624" s="75" t="s">
        <v>326</v>
      </c>
      <c r="I1624" s="75" t="s">
        <v>326</v>
      </c>
      <c r="J1624" s="4"/>
    </row>
    <row r="1625" spans="1:10" x14ac:dyDescent="0.25">
      <c r="A1625" s="39">
        <v>1624</v>
      </c>
      <c r="B1625" s="3" t="s">
        <v>2949</v>
      </c>
      <c r="C1625" s="75" t="s">
        <v>2950</v>
      </c>
      <c r="D1625" s="75" t="s">
        <v>498</v>
      </c>
      <c r="E1625" s="75" t="str">
        <f>"০১৭১৯-৮৬৬২৯১"</f>
        <v>০১৭১৯-৮৬৬২৯১</v>
      </c>
      <c r="F1625" s="22" t="str">
        <f>"8119457774924"</f>
        <v>8119457774924</v>
      </c>
      <c r="G1625" s="75" t="str">
        <f>"১৩০৩০৬১৮০৩৩৩"</f>
        <v>১৩০৩০৬১৮০৩৩৩</v>
      </c>
      <c r="H1625" s="75" t="s">
        <v>322</v>
      </c>
      <c r="I1625" s="75" t="s">
        <v>322</v>
      </c>
      <c r="J1625" s="4"/>
    </row>
    <row r="1626" spans="1:10" x14ac:dyDescent="0.25">
      <c r="A1626" s="39">
        <v>1625</v>
      </c>
      <c r="B1626" s="3" t="s">
        <v>2951</v>
      </c>
      <c r="C1626" s="75" t="s">
        <v>511</v>
      </c>
      <c r="D1626" s="75" t="s">
        <v>498</v>
      </c>
      <c r="E1626" s="75" t="str">
        <f>"০১৭৪৫-৪৮৯১৫৭"</f>
        <v>০১৭৪৫-৪৮৯১৫৭</v>
      </c>
      <c r="F1626" s="22" t="str">
        <f>"8119457774663"</f>
        <v>8119457774663</v>
      </c>
      <c r="G1626" s="75" t="str">
        <f>"১৩০৩০৬১৮০৩৩২"</f>
        <v>১৩০৩০৬১৮০৩৩২</v>
      </c>
      <c r="H1626" s="75" t="s">
        <v>322</v>
      </c>
      <c r="I1626" s="75" t="s">
        <v>322</v>
      </c>
      <c r="J1626" s="4"/>
    </row>
    <row r="1627" spans="1:10" x14ac:dyDescent="0.25">
      <c r="A1627" s="39">
        <v>1626</v>
      </c>
      <c r="B1627" s="3" t="s">
        <v>2952</v>
      </c>
      <c r="C1627" s="75" t="s">
        <v>2953</v>
      </c>
      <c r="D1627" s="75" t="s">
        <v>498</v>
      </c>
      <c r="E1627" s="75" t="str">
        <f>"০১৭৬৭-১১৬৫৩১"</f>
        <v>০১৭৬৭-১১৬৫৩১</v>
      </c>
      <c r="F1627" s="22" t="str">
        <f>"8119457810030"</f>
        <v>8119457810030</v>
      </c>
      <c r="G1627" s="75" t="str">
        <f>"১৩০৩০৬১৮০৩৩১"</f>
        <v>১৩০৩০৬১৮০৩৩১</v>
      </c>
      <c r="H1627" s="75" t="s">
        <v>346</v>
      </c>
      <c r="I1627" s="75" t="s">
        <v>346</v>
      </c>
      <c r="J1627" s="4"/>
    </row>
    <row r="1628" spans="1:10" x14ac:dyDescent="0.25">
      <c r="A1628" s="39">
        <v>1627</v>
      </c>
      <c r="B1628" s="3" t="s">
        <v>1794</v>
      </c>
      <c r="C1628" s="75" t="s">
        <v>2954</v>
      </c>
      <c r="D1628" s="75" t="s">
        <v>498</v>
      </c>
      <c r="E1628" s="75" t="str">
        <f>"০১৭৪৮-৬৭৪০৫৭"</f>
        <v>০১৭৪৮-৬৭৪০৫৭</v>
      </c>
      <c r="F1628" s="22" t="str">
        <f>"8119457810273"</f>
        <v>8119457810273</v>
      </c>
      <c r="G1628" s="75" t="str">
        <f>"১৩০৩০৬১৮০৩৩০"</f>
        <v>১৩০৩০৬১৮০৩৩০</v>
      </c>
      <c r="H1628" s="75" t="s">
        <v>362</v>
      </c>
      <c r="I1628" s="75" t="s">
        <v>362</v>
      </c>
      <c r="J1628" s="4"/>
    </row>
    <row r="1629" spans="1:10" x14ac:dyDescent="0.25">
      <c r="A1629" s="39">
        <v>1628</v>
      </c>
      <c r="B1629" s="3" t="s">
        <v>512</v>
      </c>
      <c r="C1629" s="75" t="s">
        <v>513</v>
      </c>
      <c r="D1629" s="75" t="s">
        <v>498</v>
      </c>
      <c r="E1629" s="75" t="str">
        <f>"০১৭৯২-৬৬৭৬৭১"</f>
        <v>০১৭৯২-৬৬৭৬৭১</v>
      </c>
      <c r="F1629" s="22" t="str">
        <f>"8119457810029"</f>
        <v>8119457810029</v>
      </c>
      <c r="G1629" s="75" t="str">
        <f>"১৩০৩০৬১৮০৩২৯"</f>
        <v>১৩০৩০৬১৮০৩২৯</v>
      </c>
      <c r="H1629" s="75" t="s">
        <v>349</v>
      </c>
      <c r="I1629" s="75" t="s">
        <v>349</v>
      </c>
      <c r="J1629" s="4"/>
    </row>
    <row r="1630" spans="1:10" x14ac:dyDescent="0.25">
      <c r="A1630" s="39">
        <v>1629</v>
      </c>
      <c r="B1630" s="3" t="s">
        <v>2955</v>
      </c>
      <c r="C1630" s="75" t="s">
        <v>514</v>
      </c>
      <c r="D1630" s="75" t="s">
        <v>498</v>
      </c>
      <c r="E1630" s="75" t="str">
        <f>"০১৭৪৮-৬৮৩৯৯৯"</f>
        <v>০১৭৪৮-৬৮৩৯৯৯</v>
      </c>
      <c r="F1630" s="22" t="str">
        <f>"8119455700052"</f>
        <v>8119455700052</v>
      </c>
      <c r="G1630" s="75" t="str">
        <f>"১৩০৩০৬১৮০৩২৮"</f>
        <v>১৩০৩০৬১৮০৩২৮</v>
      </c>
      <c r="H1630" s="75" t="s">
        <v>362</v>
      </c>
      <c r="I1630" s="75" t="s">
        <v>362</v>
      </c>
      <c r="J1630" s="4"/>
    </row>
    <row r="1631" spans="1:10" x14ac:dyDescent="0.25">
      <c r="A1631" s="39">
        <v>1630</v>
      </c>
      <c r="B1631" s="3" t="s">
        <v>515</v>
      </c>
      <c r="C1631" s="75" t="s">
        <v>516</v>
      </c>
      <c r="D1631" s="75" t="s">
        <v>498</v>
      </c>
      <c r="E1631" s="75" t="str">
        <f>"০১৭৮০-৯০৬৬০৭"</f>
        <v>০১৭৮০-৯০৬৬০৭</v>
      </c>
      <c r="F1631" s="22" t="str">
        <f>"8119457000292"</f>
        <v>8119457000292</v>
      </c>
      <c r="G1631" s="75" t="str">
        <f>"১৩০৩০৬১৮০৩২৭"</f>
        <v>১৩০৩০৬১৮০৩২৭</v>
      </c>
      <c r="H1631" s="75" t="s">
        <v>371</v>
      </c>
      <c r="I1631" s="75" t="s">
        <v>371</v>
      </c>
      <c r="J1631" s="4"/>
    </row>
    <row r="1632" spans="1:10" x14ac:dyDescent="0.25">
      <c r="A1632" s="39">
        <v>1631</v>
      </c>
      <c r="B1632" s="3" t="s">
        <v>2956</v>
      </c>
      <c r="C1632" s="75" t="s">
        <v>2950</v>
      </c>
      <c r="D1632" s="75" t="s">
        <v>498</v>
      </c>
      <c r="E1632" s="75" t="str">
        <f>"০১৭১৮-১০৪৪৯৪"</f>
        <v>০১৭১৮-১০৪৪৯৪</v>
      </c>
      <c r="F1632" s="22" t="str">
        <f>"8119457774920"</f>
        <v>8119457774920</v>
      </c>
      <c r="G1632" s="75" t="str">
        <f>"১৩০৩০৬১৮০৩২৬"</f>
        <v>১৩০৩০৬১৮০৩২৬</v>
      </c>
      <c r="H1632" s="75" t="s">
        <v>322</v>
      </c>
      <c r="I1632" s="75" t="s">
        <v>322</v>
      </c>
      <c r="J1632" s="4"/>
    </row>
    <row r="1633" spans="1:10" x14ac:dyDescent="0.25">
      <c r="A1633" s="39">
        <v>1632</v>
      </c>
      <c r="B1633" s="3" t="s">
        <v>2938</v>
      </c>
      <c r="C1633" s="75" t="s">
        <v>517</v>
      </c>
      <c r="D1633" s="75" t="s">
        <v>498</v>
      </c>
      <c r="E1633" s="75" t="str">
        <f>"০১৭৪৩-৮৭০১১৯"</f>
        <v>০১৭৪৩-৮৭০১১৯</v>
      </c>
      <c r="F1633" s="22" t="str">
        <f>"8119457774974"</f>
        <v>8119457774974</v>
      </c>
      <c r="G1633" s="75" t="str">
        <f>"১৩০৩০৬১৮০৩২৫"</f>
        <v>১৩০৩০৬১৮০৩২৫</v>
      </c>
      <c r="H1633" s="75" t="s">
        <v>346</v>
      </c>
      <c r="I1633" s="75" t="s">
        <v>346</v>
      </c>
      <c r="J1633" s="4"/>
    </row>
    <row r="1634" spans="1:10" x14ac:dyDescent="0.25">
      <c r="A1634" s="39">
        <v>1633</v>
      </c>
      <c r="B1634" s="3" t="s">
        <v>2957</v>
      </c>
      <c r="C1634" s="75" t="s">
        <v>518</v>
      </c>
      <c r="D1634" s="75" t="s">
        <v>498</v>
      </c>
      <c r="E1634" s="75" t="str">
        <f>"০১৭১৮-৬৫৮১৩৬"</f>
        <v>০১৭১৮-৬৫৮১৩৬</v>
      </c>
      <c r="F1634" s="22" t="str">
        <f>"8119457774929"</f>
        <v>8119457774929</v>
      </c>
      <c r="G1634" s="75" t="str">
        <f>"১৩০৩০৬১৮০৩২৪"</f>
        <v>১৩০৩০৬১৮০৩২৪</v>
      </c>
      <c r="H1634" s="75" t="s">
        <v>322</v>
      </c>
      <c r="I1634" s="75" t="s">
        <v>322</v>
      </c>
      <c r="J1634" s="4"/>
    </row>
    <row r="1635" spans="1:10" x14ac:dyDescent="0.25">
      <c r="A1635" s="39">
        <v>1634</v>
      </c>
      <c r="B1635" s="3" t="s">
        <v>2958</v>
      </c>
      <c r="C1635" s="75" t="s">
        <v>519</v>
      </c>
      <c r="D1635" s="75" t="s">
        <v>498</v>
      </c>
      <c r="E1635" s="75" t="str">
        <f>"০১৭৫৪-৭৬৬৪১৯"</f>
        <v>০১৭৫৪-৭৬৬৪১৯</v>
      </c>
      <c r="F1635" s="22" t="str">
        <f>"8119457810211"</f>
        <v>8119457810211</v>
      </c>
      <c r="G1635" s="75" t="str">
        <f>"১৩০৩০৬১৮০৩২৩"</f>
        <v>১৩০৩০৬১৮০৩২৩</v>
      </c>
      <c r="H1635" s="75" t="s">
        <v>322</v>
      </c>
      <c r="I1635" s="75" t="s">
        <v>322</v>
      </c>
      <c r="J1635" s="4"/>
    </row>
    <row r="1636" spans="1:10" x14ac:dyDescent="0.25">
      <c r="A1636" s="39">
        <v>1635</v>
      </c>
      <c r="B1636" s="3" t="s">
        <v>2959</v>
      </c>
      <c r="C1636" s="75" t="s">
        <v>520</v>
      </c>
      <c r="D1636" s="75" t="s">
        <v>498</v>
      </c>
      <c r="E1636" s="75" t="str">
        <f>"০১৭২৬৪১৮০৩"</f>
        <v>০১৭২৬৪১৮০৩</v>
      </c>
      <c r="F1636" s="22" t="str">
        <f>"8119457747521"</f>
        <v>8119457747521</v>
      </c>
      <c r="G1636" s="75" t="str">
        <f>"১৩০৩০৬১৮০৩২২"</f>
        <v>১৩০৩০৬১৮০৩২২</v>
      </c>
      <c r="H1636" s="75" t="s">
        <v>322</v>
      </c>
      <c r="I1636" s="75" t="s">
        <v>322</v>
      </c>
      <c r="J1636" s="4"/>
    </row>
    <row r="1637" spans="1:10" x14ac:dyDescent="0.25">
      <c r="A1637" s="39">
        <v>1636</v>
      </c>
      <c r="B1637" s="3" t="s">
        <v>2267</v>
      </c>
      <c r="C1637" s="75" t="s">
        <v>2960</v>
      </c>
      <c r="D1637" s="75" t="s">
        <v>498</v>
      </c>
      <c r="E1637" s="75" t="str">
        <f>"০১৭৫৮-১৬৫৬২৯"</f>
        <v>০১৭৫৮-১৬৫৬২৯</v>
      </c>
      <c r="F1637" s="22" t="str">
        <f>"8119457774980"</f>
        <v>8119457774980</v>
      </c>
      <c r="G1637" s="75" t="str">
        <f>"১৩০৩০৬১৮০৩২১"</f>
        <v>১৩০৩০৬১৮০৩২১</v>
      </c>
      <c r="H1637" s="75" t="s">
        <v>322</v>
      </c>
      <c r="I1637" s="75" t="s">
        <v>322</v>
      </c>
      <c r="J1637" s="4"/>
    </row>
    <row r="1638" spans="1:10" x14ac:dyDescent="0.25">
      <c r="A1638" s="39">
        <v>1637</v>
      </c>
      <c r="B1638" s="3" t="s">
        <v>35</v>
      </c>
      <c r="C1638" s="75" t="s">
        <v>521</v>
      </c>
      <c r="D1638" s="75" t="s">
        <v>498</v>
      </c>
      <c r="E1638" s="75" t="str">
        <f>"০১৭৯০-২০৩১৭৩"</f>
        <v>০১৭৯০-২০৩১৭৩</v>
      </c>
      <c r="F1638" s="22" t="str">
        <f>"8119457774758"</f>
        <v>8119457774758</v>
      </c>
      <c r="G1638" s="75" t="str">
        <f>"১৩০৩০৬১৮০৩২০"</f>
        <v>১৩০৩০৬১৮০৩২০</v>
      </c>
      <c r="H1638" s="75" t="s">
        <v>322</v>
      </c>
      <c r="I1638" s="75" t="s">
        <v>322</v>
      </c>
      <c r="J1638" s="4"/>
    </row>
    <row r="1639" spans="1:10" x14ac:dyDescent="0.25">
      <c r="A1639" s="39">
        <v>1638</v>
      </c>
      <c r="B1639" s="3" t="s">
        <v>522</v>
      </c>
      <c r="C1639" s="75" t="s">
        <v>523</v>
      </c>
      <c r="D1639" s="75" t="s">
        <v>498</v>
      </c>
      <c r="E1639" s="75" t="str">
        <f t="shared" ref="E1639:E1702" si="32">"০"</f>
        <v>০</v>
      </c>
      <c r="F1639" s="22" t="str">
        <f>"8119457774948"</f>
        <v>8119457774948</v>
      </c>
      <c r="G1639" s="75" t="str">
        <f>"১৩০৩০৬১৮০৩১৯"</f>
        <v>১৩০৩০৬১৮০৩১৯</v>
      </c>
      <c r="H1639" s="75" t="s">
        <v>456</v>
      </c>
      <c r="I1639" s="75" t="s">
        <v>456</v>
      </c>
      <c r="J1639" s="4"/>
    </row>
    <row r="1640" spans="1:10" x14ac:dyDescent="0.25">
      <c r="A1640" s="39">
        <v>1639</v>
      </c>
      <c r="B1640" s="3" t="s">
        <v>524</v>
      </c>
      <c r="C1640" s="75" t="s">
        <v>2961</v>
      </c>
      <c r="D1640" s="75" t="s">
        <v>498</v>
      </c>
      <c r="E1640" s="75" t="str">
        <f t="shared" si="32"/>
        <v>০</v>
      </c>
      <c r="F1640" s="22" t="str">
        <f>"8119457810004"</f>
        <v>8119457810004</v>
      </c>
      <c r="G1640" s="75" t="str">
        <f>"১৩০৩০৬১৮০৩১৮"</f>
        <v>১৩০৩০৬১৮০৩১৮</v>
      </c>
      <c r="H1640" s="75" t="s">
        <v>385</v>
      </c>
      <c r="I1640" s="75" t="s">
        <v>385</v>
      </c>
      <c r="J1640" s="4"/>
    </row>
    <row r="1641" spans="1:10" x14ac:dyDescent="0.25">
      <c r="A1641" s="39">
        <v>1640</v>
      </c>
      <c r="B1641" s="3" t="s">
        <v>525</v>
      </c>
      <c r="C1641" s="75" t="s">
        <v>2960</v>
      </c>
      <c r="D1641" s="75" t="s">
        <v>498</v>
      </c>
      <c r="E1641" s="75" t="str">
        <f t="shared" si="32"/>
        <v>০</v>
      </c>
      <c r="F1641" s="22" t="str">
        <f>"8119457774980"</f>
        <v>8119457774980</v>
      </c>
      <c r="G1641" s="75" t="str">
        <f>"১৩০৩০৬১৮০৩১৭"</f>
        <v>১৩০৩০৬১৮০৩১৭</v>
      </c>
      <c r="H1641" s="75" t="s">
        <v>376</v>
      </c>
      <c r="I1641" s="75" t="s">
        <v>376</v>
      </c>
      <c r="J1641" s="4"/>
    </row>
    <row r="1642" spans="1:10" x14ac:dyDescent="0.25">
      <c r="A1642" s="39">
        <v>1641</v>
      </c>
      <c r="B1642" s="3" t="s">
        <v>526</v>
      </c>
      <c r="C1642" s="75" t="s">
        <v>527</v>
      </c>
      <c r="D1642" s="75" t="s">
        <v>498</v>
      </c>
      <c r="E1642" s="75" t="str">
        <f t="shared" si="32"/>
        <v>০</v>
      </c>
      <c r="F1642" s="22" t="str">
        <f>"8119457774753"</f>
        <v>8119457774753</v>
      </c>
      <c r="G1642" s="75" t="str">
        <f>"১৩০৩০৬১৮০৩১৬"</f>
        <v>১৩০৩০৬১৮০৩১৬</v>
      </c>
      <c r="H1642" s="75" t="s">
        <v>371</v>
      </c>
      <c r="I1642" s="75" t="s">
        <v>371</v>
      </c>
      <c r="J1642" s="4"/>
    </row>
    <row r="1643" spans="1:10" x14ac:dyDescent="0.25">
      <c r="A1643" s="39">
        <v>1642</v>
      </c>
      <c r="B1643" s="3" t="s">
        <v>528</v>
      </c>
      <c r="C1643" s="75" t="s">
        <v>529</v>
      </c>
      <c r="D1643" s="75" t="s">
        <v>498</v>
      </c>
      <c r="E1643" s="75" t="str">
        <f t="shared" si="32"/>
        <v>০</v>
      </c>
      <c r="F1643" s="22" t="str">
        <f>"8119457810147"</f>
        <v>8119457810147</v>
      </c>
      <c r="G1643" s="75" t="str">
        <f>"১৩০৩০৬১৮০৩১৫"</f>
        <v>১৩০৩০৬১৮০৩১৫</v>
      </c>
      <c r="H1643" s="75" t="s">
        <v>346</v>
      </c>
      <c r="I1643" s="75" t="s">
        <v>346</v>
      </c>
      <c r="J1643" s="4"/>
    </row>
    <row r="1644" spans="1:10" x14ac:dyDescent="0.25">
      <c r="A1644" s="39">
        <v>1643</v>
      </c>
      <c r="B1644" s="3" t="s">
        <v>530</v>
      </c>
      <c r="C1644" s="75" t="s">
        <v>531</v>
      </c>
      <c r="D1644" s="75" t="s">
        <v>498</v>
      </c>
      <c r="E1644" s="75" t="str">
        <f t="shared" si="32"/>
        <v>০</v>
      </c>
      <c r="F1644" s="22" t="str">
        <f>"19928119457000003"</f>
        <v>19928119457000003</v>
      </c>
      <c r="G1644" s="75" t="str">
        <f>"১৩০৩০৬১৮০৩১৪"</f>
        <v>১৩০৩০৬১৮০৩১৪</v>
      </c>
      <c r="H1644" s="75" t="s">
        <v>322</v>
      </c>
      <c r="I1644" s="75" t="s">
        <v>322</v>
      </c>
      <c r="J1644" s="4"/>
    </row>
    <row r="1645" spans="1:10" x14ac:dyDescent="0.25">
      <c r="A1645" s="39">
        <v>1644</v>
      </c>
      <c r="B1645" s="3" t="s">
        <v>2962</v>
      </c>
      <c r="C1645" s="75" t="s">
        <v>2963</v>
      </c>
      <c r="D1645" s="75" t="s">
        <v>498</v>
      </c>
      <c r="E1645" s="75" t="str">
        <f t="shared" si="32"/>
        <v>০</v>
      </c>
      <c r="F1645" s="22" t="str">
        <f>"8119457774705"</f>
        <v>8119457774705</v>
      </c>
      <c r="G1645" s="75" t="str">
        <f>"১৩০৩০৬১৮০৩১৩"</f>
        <v>১৩০৩০৬১৮০৩১৩</v>
      </c>
      <c r="H1645" s="75" t="s">
        <v>385</v>
      </c>
      <c r="I1645" s="75" t="s">
        <v>385</v>
      </c>
      <c r="J1645" s="4"/>
    </row>
    <row r="1646" spans="1:10" x14ac:dyDescent="0.25">
      <c r="A1646" s="39">
        <v>1645</v>
      </c>
      <c r="B1646" s="3" t="s">
        <v>532</v>
      </c>
      <c r="C1646" s="75" t="s">
        <v>507</v>
      </c>
      <c r="D1646" s="75" t="s">
        <v>498</v>
      </c>
      <c r="E1646" s="75" t="str">
        <f t="shared" si="32"/>
        <v>০</v>
      </c>
      <c r="F1646" s="22" t="str">
        <f>"8119457774792"</f>
        <v>8119457774792</v>
      </c>
      <c r="G1646" s="75" t="str">
        <f>"১৩০৩০৬১৮০৩১২"</f>
        <v>১৩০৩০৬১৮০৩১২</v>
      </c>
      <c r="H1646" s="75" t="s">
        <v>322</v>
      </c>
      <c r="I1646" s="75" t="s">
        <v>322</v>
      </c>
      <c r="J1646" s="4"/>
    </row>
    <row r="1647" spans="1:10" x14ac:dyDescent="0.25">
      <c r="A1647" s="39">
        <v>1646</v>
      </c>
      <c r="B1647" s="3" t="s">
        <v>508</v>
      </c>
      <c r="C1647" s="75" t="s">
        <v>533</v>
      </c>
      <c r="D1647" s="75" t="s">
        <v>498</v>
      </c>
      <c r="E1647" s="75" t="str">
        <f t="shared" si="32"/>
        <v>০</v>
      </c>
      <c r="F1647" s="22" t="str">
        <f>"8119457774787"</f>
        <v>8119457774787</v>
      </c>
      <c r="G1647" s="75" t="str">
        <f>"১৩০৩০৬১৮০৩১১"</f>
        <v>১৩০৩০৬১৮০৩১১</v>
      </c>
      <c r="H1647" s="75" t="s">
        <v>362</v>
      </c>
      <c r="I1647" s="75" t="s">
        <v>362</v>
      </c>
      <c r="J1647" s="4"/>
    </row>
    <row r="1648" spans="1:10" x14ac:dyDescent="0.25">
      <c r="A1648" s="39">
        <v>1647</v>
      </c>
      <c r="B1648" s="3" t="s">
        <v>2964</v>
      </c>
      <c r="C1648" s="75" t="s">
        <v>2965</v>
      </c>
      <c r="D1648" s="75" t="s">
        <v>498</v>
      </c>
      <c r="E1648" s="75" t="str">
        <f t="shared" si="32"/>
        <v>০</v>
      </c>
      <c r="F1648" s="22" t="str">
        <f>"8119457774675"</f>
        <v>8119457774675</v>
      </c>
      <c r="G1648" s="75" t="str">
        <f>"১৩০৩০৬১৮০৩১০"</f>
        <v>১৩০৩০৬১৮০৩১০</v>
      </c>
      <c r="H1648" s="75" t="s">
        <v>385</v>
      </c>
      <c r="I1648" s="75" t="s">
        <v>385</v>
      </c>
      <c r="J1648" s="4"/>
    </row>
    <row r="1649" spans="1:10" x14ac:dyDescent="0.25">
      <c r="A1649" s="39">
        <v>1648</v>
      </c>
      <c r="B1649" s="3" t="s">
        <v>2966</v>
      </c>
      <c r="C1649" s="75" t="s">
        <v>2967</v>
      </c>
      <c r="D1649" s="75" t="s">
        <v>498</v>
      </c>
      <c r="E1649" s="75" t="str">
        <f t="shared" si="32"/>
        <v>০</v>
      </c>
      <c r="F1649" s="22" t="str">
        <f>"8119457810035"</f>
        <v>8119457810035</v>
      </c>
      <c r="G1649" s="75" t="str">
        <f>"১৩০৩০৬১৮০৩০৯"</f>
        <v>১৩০৩০৬১৮০৩০৯</v>
      </c>
      <c r="H1649" s="75" t="s">
        <v>392</v>
      </c>
      <c r="I1649" s="75" t="s">
        <v>392</v>
      </c>
      <c r="J1649" s="4"/>
    </row>
    <row r="1650" spans="1:10" x14ac:dyDescent="0.25">
      <c r="A1650" s="39">
        <v>1649</v>
      </c>
      <c r="B1650" s="3" t="s">
        <v>534</v>
      </c>
      <c r="C1650" s="75" t="s">
        <v>2968</v>
      </c>
      <c r="D1650" s="75" t="s">
        <v>498</v>
      </c>
      <c r="E1650" s="75" t="str">
        <f t="shared" si="32"/>
        <v>০</v>
      </c>
      <c r="F1650" s="22" t="str">
        <f>"8119457810165"</f>
        <v>8119457810165</v>
      </c>
      <c r="G1650" s="75" t="str">
        <f>"১৩০৩০৬১৮০৩০৮"</f>
        <v>১৩০৩০৬১৮০৩০৮</v>
      </c>
      <c r="H1650" s="75" t="s">
        <v>316</v>
      </c>
      <c r="I1650" s="75" t="s">
        <v>316</v>
      </c>
      <c r="J1650" s="4"/>
    </row>
    <row r="1651" spans="1:10" x14ac:dyDescent="0.25">
      <c r="A1651" s="39">
        <v>1650</v>
      </c>
      <c r="B1651" s="3" t="s">
        <v>1830</v>
      </c>
      <c r="C1651" s="75" t="s">
        <v>2942</v>
      </c>
      <c r="D1651" s="75" t="s">
        <v>453</v>
      </c>
      <c r="E1651" s="75" t="str">
        <f t="shared" si="32"/>
        <v>০</v>
      </c>
      <c r="F1651" s="22" t="str">
        <f>"8119457812298"</f>
        <v>8119457812298</v>
      </c>
      <c r="G1651" s="75" t="str">
        <f>"১৩০৩০৬১৮১৪১৩"</f>
        <v>১৩০৩০৬১৮১৪১৩</v>
      </c>
      <c r="H1651" s="75" t="s">
        <v>346</v>
      </c>
      <c r="I1651" s="75" t="s">
        <v>346</v>
      </c>
      <c r="J1651" s="4"/>
    </row>
    <row r="1652" spans="1:10" x14ac:dyDescent="0.25">
      <c r="A1652" s="39">
        <v>1651</v>
      </c>
      <c r="B1652" s="3" t="s">
        <v>535</v>
      </c>
      <c r="C1652" s="75" t="s">
        <v>536</v>
      </c>
      <c r="D1652" s="75" t="s">
        <v>453</v>
      </c>
      <c r="E1652" s="75" t="str">
        <f t="shared" si="32"/>
        <v>০</v>
      </c>
      <c r="F1652" s="22" t="str">
        <f>"8119457812359"</f>
        <v>8119457812359</v>
      </c>
      <c r="G1652" s="75" t="str">
        <f>"১৩০৩০৬১৮১৪১২"</f>
        <v>১৩০৩০৬১৮১৪১২</v>
      </c>
      <c r="H1652" s="75" t="s">
        <v>349</v>
      </c>
      <c r="I1652" s="75" t="s">
        <v>349</v>
      </c>
      <c r="J1652" s="4"/>
    </row>
    <row r="1653" spans="1:10" x14ac:dyDescent="0.25">
      <c r="A1653" s="39">
        <v>1652</v>
      </c>
      <c r="B1653" s="3" t="s">
        <v>537</v>
      </c>
      <c r="C1653" s="75" t="s">
        <v>538</v>
      </c>
      <c r="D1653" s="75" t="s">
        <v>453</v>
      </c>
      <c r="E1653" s="75" t="str">
        <f t="shared" si="32"/>
        <v>০</v>
      </c>
      <c r="F1653" s="22" t="str">
        <f>"8119457812183"</f>
        <v>8119457812183</v>
      </c>
      <c r="G1653" s="75" t="str">
        <f>"১৩০৩০৬১৮১৪১১"</f>
        <v>১৩০৩০৬১৮১৪১১</v>
      </c>
      <c r="H1653" s="75" t="s">
        <v>346</v>
      </c>
      <c r="I1653" s="75" t="s">
        <v>346</v>
      </c>
      <c r="J1653" s="4"/>
    </row>
    <row r="1654" spans="1:10" x14ac:dyDescent="0.25">
      <c r="A1654" s="39">
        <v>1653</v>
      </c>
      <c r="B1654" s="3" t="s">
        <v>539</v>
      </c>
      <c r="C1654" s="75" t="s">
        <v>540</v>
      </c>
      <c r="D1654" s="75" t="s">
        <v>453</v>
      </c>
      <c r="E1654" s="75" t="str">
        <f t="shared" si="32"/>
        <v>০</v>
      </c>
      <c r="F1654" s="22" t="str">
        <f>"8119457812330"</f>
        <v>8119457812330</v>
      </c>
      <c r="G1654" s="75" t="str">
        <f>"১৩০৩০৬১৮১৪১০"</f>
        <v>১৩০৩০৬১৮১৪১০</v>
      </c>
      <c r="H1654" s="75" t="s">
        <v>322</v>
      </c>
      <c r="I1654" s="75" t="s">
        <v>322</v>
      </c>
      <c r="J1654" s="4"/>
    </row>
    <row r="1655" spans="1:10" x14ac:dyDescent="0.25">
      <c r="A1655" s="39">
        <v>1654</v>
      </c>
      <c r="B1655" s="3" t="s">
        <v>470</v>
      </c>
      <c r="C1655" s="75" t="s">
        <v>539</v>
      </c>
      <c r="D1655" s="75" t="s">
        <v>453</v>
      </c>
      <c r="E1655" s="75" t="str">
        <f t="shared" si="32"/>
        <v>০</v>
      </c>
      <c r="F1655" s="22" t="str">
        <f>"8119457812375"</f>
        <v>8119457812375</v>
      </c>
      <c r="G1655" s="75" t="str">
        <f>"১৩০৩০৬১৮১৪০৯"</f>
        <v>১৩০৩০৬১৮১৪০৯</v>
      </c>
      <c r="H1655" s="75" t="s">
        <v>322</v>
      </c>
      <c r="I1655" s="75" t="s">
        <v>322</v>
      </c>
      <c r="J1655" s="4"/>
    </row>
    <row r="1656" spans="1:10" x14ac:dyDescent="0.25">
      <c r="A1656" s="39">
        <v>1655</v>
      </c>
      <c r="B1656" s="3" t="s">
        <v>377</v>
      </c>
      <c r="C1656" s="75" t="s">
        <v>539</v>
      </c>
      <c r="D1656" s="75" t="s">
        <v>453</v>
      </c>
      <c r="E1656" s="75" t="str">
        <f t="shared" si="32"/>
        <v>০</v>
      </c>
      <c r="F1656" s="22" t="str">
        <f>"8119457812366"</f>
        <v>8119457812366</v>
      </c>
      <c r="G1656" s="75" t="str">
        <f>"১৩০৩০৬১৮১৪০৮"</f>
        <v>১৩০৩০৬১৮১৪০৮</v>
      </c>
      <c r="H1656" s="75" t="s">
        <v>346</v>
      </c>
      <c r="I1656" s="75" t="s">
        <v>346</v>
      </c>
      <c r="J1656" s="4"/>
    </row>
    <row r="1657" spans="1:10" x14ac:dyDescent="0.25">
      <c r="A1657" s="39">
        <v>1656</v>
      </c>
      <c r="B1657" s="3" t="s">
        <v>541</v>
      </c>
      <c r="C1657" s="75" t="s">
        <v>447</v>
      </c>
      <c r="D1657" s="75" t="s">
        <v>453</v>
      </c>
      <c r="E1657" s="75" t="str">
        <f t="shared" si="32"/>
        <v>০</v>
      </c>
      <c r="F1657" s="22" t="str">
        <f>"8119457812163"</f>
        <v>8119457812163</v>
      </c>
      <c r="G1657" s="75" t="str">
        <f>"১৩০৩০৬১৮১৪০৭"</f>
        <v>১৩০৩০৬১৮১৪০৭</v>
      </c>
      <c r="H1657" s="75" t="s">
        <v>357</v>
      </c>
      <c r="I1657" s="75" t="s">
        <v>357</v>
      </c>
      <c r="J1657" s="4"/>
    </row>
    <row r="1658" spans="1:10" x14ac:dyDescent="0.25">
      <c r="A1658" s="39">
        <v>1657</v>
      </c>
      <c r="B1658" s="3" t="s">
        <v>423</v>
      </c>
      <c r="C1658" s="75" t="s">
        <v>542</v>
      </c>
      <c r="D1658" s="75" t="s">
        <v>453</v>
      </c>
      <c r="E1658" s="75" t="str">
        <f t="shared" si="32"/>
        <v>০</v>
      </c>
      <c r="F1658" s="22" t="str">
        <f>"8119457812113"</f>
        <v>8119457812113</v>
      </c>
      <c r="G1658" s="75" t="str">
        <f>"১৩০৩০৬১৮১৪০৬"</f>
        <v>১৩০৩০৬১৮১৪০৬</v>
      </c>
      <c r="H1658" s="75" t="s">
        <v>322</v>
      </c>
      <c r="I1658" s="75" t="s">
        <v>322</v>
      </c>
      <c r="J1658" s="4"/>
    </row>
    <row r="1659" spans="1:10" x14ac:dyDescent="0.25">
      <c r="A1659" s="39">
        <v>1658</v>
      </c>
      <c r="B1659" s="3" t="s">
        <v>543</v>
      </c>
      <c r="C1659" s="75" t="s">
        <v>544</v>
      </c>
      <c r="D1659" s="75" t="s">
        <v>453</v>
      </c>
      <c r="E1659" s="75" t="str">
        <f t="shared" si="32"/>
        <v>০</v>
      </c>
      <c r="F1659" s="22" t="str">
        <f>"8119457000075"</f>
        <v>8119457000075</v>
      </c>
      <c r="G1659" s="75" t="str">
        <f>"১৩০৩০৬১৮১৪০৫"</f>
        <v>১৩০৩০৬১৮১৪০৫</v>
      </c>
      <c r="H1659" s="75" t="s">
        <v>362</v>
      </c>
      <c r="I1659" s="75" t="s">
        <v>362</v>
      </c>
      <c r="J1659" s="4"/>
    </row>
    <row r="1660" spans="1:10" x14ac:dyDescent="0.25">
      <c r="A1660" s="39">
        <v>1659</v>
      </c>
      <c r="B1660" s="3" t="s">
        <v>545</v>
      </c>
      <c r="C1660" s="75" t="s">
        <v>546</v>
      </c>
      <c r="D1660" s="75" t="s">
        <v>453</v>
      </c>
      <c r="E1660" s="75" t="str">
        <f t="shared" si="32"/>
        <v>০</v>
      </c>
      <c r="F1660" s="22" t="str">
        <f>"8119457812089"</f>
        <v>8119457812089</v>
      </c>
      <c r="G1660" s="75" t="str">
        <f>"১৩০৩০৬১৮১৪০৪"</f>
        <v>১৩০৩০৬১৮১৪০৪</v>
      </c>
      <c r="H1660" s="75" t="s">
        <v>364</v>
      </c>
      <c r="I1660" s="75" t="s">
        <v>364</v>
      </c>
      <c r="J1660" s="4"/>
    </row>
    <row r="1661" spans="1:10" x14ac:dyDescent="0.25">
      <c r="A1661" s="39">
        <v>1660</v>
      </c>
      <c r="B1661" s="3" t="s">
        <v>547</v>
      </c>
      <c r="C1661" s="75" t="s">
        <v>548</v>
      </c>
      <c r="D1661" s="75" t="s">
        <v>453</v>
      </c>
      <c r="E1661" s="75" t="str">
        <f t="shared" si="32"/>
        <v>০</v>
      </c>
      <c r="F1661" s="22" t="str">
        <f>"8119457812226"</f>
        <v>8119457812226</v>
      </c>
      <c r="G1661" s="75" t="str">
        <f>"১৩০৩০৬১৮১৪০৩"</f>
        <v>১৩০৩০৬১৮১৪০৩</v>
      </c>
      <c r="H1661" s="75" t="s">
        <v>322</v>
      </c>
      <c r="I1661" s="75" t="s">
        <v>322</v>
      </c>
      <c r="J1661" s="4"/>
    </row>
    <row r="1662" spans="1:10" x14ac:dyDescent="0.25">
      <c r="A1662" s="39">
        <v>1661</v>
      </c>
      <c r="B1662" s="3" t="s">
        <v>351</v>
      </c>
      <c r="C1662" s="75" t="s">
        <v>549</v>
      </c>
      <c r="D1662" s="75" t="s">
        <v>453</v>
      </c>
      <c r="E1662" s="75" t="str">
        <f t="shared" si="32"/>
        <v>০</v>
      </c>
      <c r="F1662" s="22" t="str">
        <f>"8119457812241"</f>
        <v>8119457812241</v>
      </c>
      <c r="G1662" s="75" t="str">
        <f>"১৩০৩০৬১৮১৪০২"</f>
        <v>১৩০৩০৬১৮১৪০২</v>
      </c>
      <c r="H1662" s="75" t="s">
        <v>349</v>
      </c>
      <c r="I1662" s="75" t="s">
        <v>349</v>
      </c>
      <c r="J1662" s="4"/>
    </row>
    <row r="1663" spans="1:10" x14ac:dyDescent="0.25">
      <c r="A1663" s="39">
        <v>1662</v>
      </c>
      <c r="B1663" s="3" t="s">
        <v>550</v>
      </c>
      <c r="C1663" s="75" t="s">
        <v>551</v>
      </c>
      <c r="D1663" s="75" t="s">
        <v>453</v>
      </c>
      <c r="E1663" s="75" t="str">
        <f t="shared" si="32"/>
        <v>০</v>
      </c>
      <c r="F1663" s="22" t="str">
        <f>"8119457812187"</f>
        <v>8119457812187</v>
      </c>
      <c r="G1663" s="75" t="str">
        <f>"১৩০৩০৬১৮১৪০১"</f>
        <v>১৩০৩০৬১৮১৪০১</v>
      </c>
      <c r="H1663" s="75" t="s">
        <v>371</v>
      </c>
      <c r="I1663" s="75" t="s">
        <v>371</v>
      </c>
      <c r="J1663" s="4"/>
    </row>
    <row r="1664" spans="1:10" x14ac:dyDescent="0.25">
      <c r="A1664" s="39">
        <v>1663</v>
      </c>
      <c r="B1664" s="3" t="s">
        <v>2969</v>
      </c>
      <c r="C1664" s="75" t="s">
        <v>552</v>
      </c>
      <c r="D1664" s="75" t="s">
        <v>453</v>
      </c>
      <c r="E1664" s="75" t="str">
        <f t="shared" si="32"/>
        <v>০</v>
      </c>
      <c r="F1664" s="22" t="str">
        <f>"8119457812197"</f>
        <v>8119457812197</v>
      </c>
      <c r="G1664" s="75" t="str">
        <f>"১৩০৩০৬১৮১৪০০"</f>
        <v>১৩০৩০৬১৮১৪০০</v>
      </c>
      <c r="H1664" s="75" t="s">
        <v>323</v>
      </c>
      <c r="I1664" s="75" t="s">
        <v>323</v>
      </c>
      <c r="J1664" s="4"/>
    </row>
    <row r="1665" spans="1:10" x14ac:dyDescent="0.25">
      <c r="A1665" s="39">
        <v>1664</v>
      </c>
      <c r="B1665" s="3" t="s">
        <v>553</v>
      </c>
      <c r="C1665" s="75" t="s">
        <v>542</v>
      </c>
      <c r="D1665" s="75" t="s">
        <v>453</v>
      </c>
      <c r="E1665" s="75" t="str">
        <f t="shared" si="32"/>
        <v>০</v>
      </c>
      <c r="F1665" s="22" t="str">
        <f>"8119457812310"</f>
        <v>8119457812310</v>
      </c>
      <c r="G1665" s="75" t="str">
        <f>"১৩০৩০৬১৮০৯৮৮"</f>
        <v>১৩০৩০৬১৮০৯৮৮</v>
      </c>
      <c r="H1665" s="75" t="s">
        <v>376</v>
      </c>
      <c r="I1665" s="75" t="s">
        <v>376</v>
      </c>
      <c r="J1665" s="4"/>
    </row>
    <row r="1666" spans="1:10" x14ac:dyDescent="0.25">
      <c r="A1666" s="39">
        <v>1665</v>
      </c>
      <c r="B1666" s="3" t="s">
        <v>554</v>
      </c>
      <c r="C1666" s="75" t="s">
        <v>555</v>
      </c>
      <c r="D1666" s="75" t="s">
        <v>453</v>
      </c>
      <c r="E1666" s="75" t="str">
        <f t="shared" si="32"/>
        <v>০</v>
      </c>
      <c r="F1666" s="22" t="str">
        <f>"8119457812154"</f>
        <v>8119457812154</v>
      </c>
      <c r="G1666" s="75" t="str">
        <f>"১৩০৩০৬১৮০৯৮৭"</f>
        <v>১৩০৩০৬১৮০৯৮৭</v>
      </c>
      <c r="H1666" s="75" t="s">
        <v>371</v>
      </c>
      <c r="I1666" s="75" t="s">
        <v>371</v>
      </c>
      <c r="J1666" s="4"/>
    </row>
    <row r="1667" spans="1:10" x14ac:dyDescent="0.25">
      <c r="A1667" s="39">
        <v>1666</v>
      </c>
      <c r="B1667" s="3" t="s">
        <v>556</v>
      </c>
      <c r="C1667" s="75" t="s">
        <v>557</v>
      </c>
      <c r="D1667" s="75" t="s">
        <v>453</v>
      </c>
      <c r="E1667" s="75" t="str">
        <f t="shared" si="32"/>
        <v>০</v>
      </c>
      <c r="F1667" s="22" t="str">
        <f>"8119457812209"</f>
        <v>8119457812209</v>
      </c>
      <c r="G1667" s="75" t="str">
        <f>"১৩০৩০৬১৮০৯৮৬"</f>
        <v>১৩০৩০৬১৮০৯৮৬</v>
      </c>
      <c r="H1667" s="75" t="s">
        <v>362</v>
      </c>
      <c r="I1667" s="75" t="s">
        <v>362</v>
      </c>
      <c r="J1667" s="4"/>
    </row>
    <row r="1668" spans="1:10" x14ac:dyDescent="0.25">
      <c r="A1668" s="39">
        <v>1667</v>
      </c>
      <c r="B1668" s="3" t="s">
        <v>558</v>
      </c>
      <c r="C1668" s="75" t="s">
        <v>559</v>
      </c>
      <c r="D1668" s="75" t="s">
        <v>453</v>
      </c>
      <c r="E1668" s="75" t="str">
        <f t="shared" si="32"/>
        <v>০</v>
      </c>
      <c r="F1668" s="22" t="str">
        <f>"8119457812114"</f>
        <v>8119457812114</v>
      </c>
      <c r="G1668" s="75" t="str">
        <f>"১৩০৩০৬১৮০৯৮৫"</f>
        <v>১৩০৩০৬১৮০৯৮৫</v>
      </c>
      <c r="H1668" s="75" t="s">
        <v>376</v>
      </c>
      <c r="I1668" s="75" t="s">
        <v>376</v>
      </c>
      <c r="J1668" s="4"/>
    </row>
    <row r="1669" spans="1:10" x14ac:dyDescent="0.25">
      <c r="A1669" s="39">
        <v>1668</v>
      </c>
      <c r="B1669" s="3" t="s">
        <v>560</v>
      </c>
      <c r="C1669" s="75" t="s">
        <v>561</v>
      </c>
      <c r="D1669" s="75" t="s">
        <v>453</v>
      </c>
      <c r="E1669" s="75" t="str">
        <f t="shared" si="32"/>
        <v>০</v>
      </c>
      <c r="F1669" s="22" t="str">
        <f>"8119457812153"</f>
        <v>8119457812153</v>
      </c>
      <c r="G1669" s="75" t="str">
        <f>"১৩০৩০৬১৮০৯৮৪"</f>
        <v>১৩০৩০৬১৮০৯৮৪</v>
      </c>
      <c r="H1669" s="75" t="s">
        <v>385</v>
      </c>
      <c r="I1669" s="75" t="s">
        <v>385</v>
      </c>
      <c r="J1669" s="4"/>
    </row>
    <row r="1670" spans="1:10" x14ac:dyDescent="0.25">
      <c r="A1670" s="39">
        <v>1669</v>
      </c>
      <c r="B1670" s="3" t="s">
        <v>562</v>
      </c>
      <c r="C1670" s="75" t="s">
        <v>563</v>
      </c>
      <c r="D1670" s="75" t="s">
        <v>453</v>
      </c>
      <c r="E1670" s="75" t="str">
        <f t="shared" si="32"/>
        <v>০</v>
      </c>
      <c r="F1670" s="22" t="str">
        <f>"8119457812174"</f>
        <v>8119457812174</v>
      </c>
      <c r="G1670" s="75" t="str">
        <f>"১৩০৩০৬১৮০৯৮৩"</f>
        <v>১৩০৩০৬১৮০৯৮৩</v>
      </c>
      <c r="H1670" s="75" t="s">
        <v>371</v>
      </c>
      <c r="I1670" s="75" t="s">
        <v>371</v>
      </c>
      <c r="J1670" s="4"/>
    </row>
    <row r="1671" spans="1:10" x14ac:dyDescent="0.25">
      <c r="A1671" s="39">
        <v>1670</v>
      </c>
      <c r="B1671" s="3" t="s">
        <v>564</v>
      </c>
      <c r="C1671" s="75" t="s">
        <v>540</v>
      </c>
      <c r="D1671" s="75" t="s">
        <v>453</v>
      </c>
      <c r="E1671" s="75" t="str">
        <f t="shared" si="32"/>
        <v>০</v>
      </c>
      <c r="F1671" s="22" t="str">
        <f>"8119457812340"</f>
        <v>8119457812340</v>
      </c>
      <c r="G1671" s="75" t="str">
        <f>"১৩০৩০৬১৮০৯৮২"</f>
        <v>১৩০৩০৬১৮০৯৮২</v>
      </c>
      <c r="H1671" s="75" t="s">
        <v>371</v>
      </c>
      <c r="I1671" s="75" t="s">
        <v>371</v>
      </c>
      <c r="J1671" s="4"/>
    </row>
    <row r="1672" spans="1:10" x14ac:dyDescent="0.25">
      <c r="A1672" s="39">
        <v>1671</v>
      </c>
      <c r="B1672" s="3" t="s">
        <v>2970</v>
      </c>
      <c r="C1672" s="75" t="s">
        <v>565</v>
      </c>
      <c r="D1672" s="75" t="s">
        <v>453</v>
      </c>
      <c r="E1672" s="75" t="str">
        <f t="shared" si="32"/>
        <v>০</v>
      </c>
      <c r="F1672" s="22" t="str">
        <f>"8119457812250"</f>
        <v>8119457812250</v>
      </c>
      <c r="G1672" s="75" t="str">
        <f>"১৩০৩০৬১৮০৯৮১"</f>
        <v>১৩০৩০৬১৮০৯৮১</v>
      </c>
      <c r="H1672" s="75" t="s">
        <v>346</v>
      </c>
      <c r="I1672" s="75" t="s">
        <v>346</v>
      </c>
      <c r="J1672" s="4"/>
    </row>
    <row r="1673" spans="1:10" x14ac:dyDescent="0.25">
      <c r="A1673" s="39">
        <v>1672</v>
      </c>
      <c r="B1673" s="3" t="s">
        <v>566</v>
      </c>
      <c r="C1673" s="75" t="s">
        <v>567</v>
      </c>
      <c r="D1673" s="75" t="s">
        <v>453</v>
      </c>
      <c r="E1673" s="75" t="str">
        <f t="shared" si="32"/>
        <v>০</v>
      </c>
      <c r="F1673" s="22" t="str">
        <f>"8119457812262"</f>
        <v>8119457812262</v>
      </c>
      <c r="G1673" s="75" t="str">
        <f>"১৩০৩০৬১৮০৯৮০"</f>
        <v>১৩০৩০৬১৮০৯৮০</v>
      </c>
      <c r="H1673" s="75" t="s">
        <v>322</v>
      </c>
      <c r="I1673" s="75" t="s">
        <v>322</v>
      </c>
      <c r="J1673" s="4"/>
    </row>
    <row r="1674" spans="1:10" x14ac:dyDescent="0.25">
      <c r="A1674" s="39">
        <v>1673</v>
      </c>
      <c r="B1674" s="3" t="s">
        <v>568</v>
      </c>
      <c r="C1674" s="75" t="s">
        <v>569</v>
      </c>
      <c r="D1674" s="75" t="s">
        <v>453</v>
      </c>
      <c r="E1674" s="75" t="str">
        <f t="shared" si="32"/>
        <v>০</v>
      </c>
      <c r="F1674" s="22" t="str">
        <f>"8119457812233"</f>
        <v>8119457812233</v>
      </c>
      <c r="G1674" s="75" t="str">
        <f>"১৩০৩০৬১৮০৯৭৯"</f>
        <v>১৩০৩০৬১৮০৯৭৯</v>
      </c>
      <c r="H1674" s="75" t="s">
        <v>322</v>
      </c>
      <c r="I1674" s="75" t="s">
        <v>322</v>
      </c>
      <c r="J1674" s="4"/>
    </row>
    <row r="1675" spans="1:10" x14ac:dyDescent="0.25">
      <c r="A1675" s="39">
        <v>1674</v>
      </c>
      <c r="B1675" s="3" t="s">
        <v>2940</v>
      </c>
      <c r="C1675" s="75" t="s">
        <v>2941</v>
      </c>
      <c r="D1675" s="75" t="s">
        <v>453</v>
      </c>
      <c r="E1675" s="75" t="str">
        <f t="shared" si="32"/>
        <v>০</v>
      </c>
      <c r="F1675" s="22" t="str">
        <f>"8119457812368"</f>
        <v>8119457812368</v>
      </c>
      <c r="G1675" s="75" t="str">
        <f>"১৩০৩০৬১৮০৯৭৮"</f>
        <v>১৩০৩০৬১৮০৯৭৮</v>
      </c>
      <c r="H1675" s="75" t="s">
        <v>376</v>
      </c>
      <c r="I1675" s="75" t="s">
        <v>376</v>
      </c>
      <c r="J1675" s="4"/>
    </row>
    <row r="1676" spans="1:10" x14ac:dyDescent="0.25">
      <c r="A1676" s="39">
        <v>1675</v>
      </c>
      <c r="B1676" s="3" t="s">
        <v>570</v>
      </c>
      <c r="C1676" s="75" t="s">
        <v>571</v>
      </c>
      <c r="D1676" s="75" t="s">
        <v>453</v>
      </c>
      <c r="E1676" s="75" t="str">
        <f t="shared" si="32"/>
        <v>০</v>
      </c>
      <c r="F1676" s="22" t="str">
        <f>"8119457812362"</f>
        <v>8119457812362</v>
      </c>
      <c r="G1676" s="75" t="str">
        <f>"১৩০৩০৬১৮০৯৭৭"</f>
        <v>১৩০৩০৬১৮০৯৭৭</v>
      </c>
      <c r="H1676" s="75" t="s">
        <v>371</v>
      </c>
      <c r="I1676" s="75" t="s">
        <v>371</v>
      </c>
      <c r="J1676" s="4"/>
    </row>
    <row r="1677" spans="1:10" x14ac:dyDescent="0.25">
      <c r="A1677" s="39">
        <v>1676</v>
      </c>
      <c r="B1677" s="3" t="s">
        <v>572</v>
      </c>
      <c r="C1677" s="75" t="s">
        <v>462</v>
      </c>
      <c r="D1677" s="75" t="s">
        <v>453</v>
      </c>
      <c r="E1677" s="75" t="str">
        <f t="shared" si="32"/>
        <v>০</v>
      </c>
      <c r="F1677" s="22" t="str">
        <f>"8119457812216"</f>
        <v>8119457812216</v>
      </c>
      <c r="G1677" s="75" t="str">
        <f>"১৩০৩০৬১৮০৯৭৬"</f>
        <v>১৩০৩০৬১৮০৯৭৬</v>
      </c>
      <c r="H1677" s="75" t="s">
        <v>392</v>
      </c>
      <c r="I1677" s="75" t="s">
        <v>392</v>
      </c>
      <c r="J1677" s="4"/>
    </row>
    <row r="1678" spans="1:10" x14ac:dyDescent="0.25">
      <c r="A1678" s="39">
        <v>1677</v>
      </c>
      <c r="B1678" s="3" t="s">
        <v>573</v>
      </c>
      <c r="C1678" s="75" t="s">
        <v>574</v>
      </c>
      <c r="D1678" s="75" t="s">
        <v>453</v>
      </c>
      <c r="E1678" s="75" t="str">
        <f t="shared" si="32"/>
        <v>০</v>
      </c>
      <c r="F1678" s="22" t="str">
        <f>"8119457812097"</f>
        <v>8119457812097</v>
      </c>
      <c r="G1678" s="75" t="str">
        <f>"১৩০৩০৬১৮০৯৭৫"</f>
        <v>১৩০৩০৬১৮০৯৭৫</v>
      </c>
      <c r="H1678" s="75" t="s">
        <v>393</v>
      </c>
      <c r="I1678" s="75" t="s">
        <v>393</v>
      </c>
      <c r="J1678" s="4"/>
    </row>
    <row r="1679" spans="1:10" x14ac:dyDescent="0.25">
      <c r="A1679" s="39">
        <v>1678</v>
      </c>
      <c r="B1679" s="3" t="s">
        <v>165</v>
      </c>
      <c r="C1679" s="75" t="s">
        <v>575</v>
      </c>
      <c r="D1679" s="75" t="s">
        <v>453</v>
      </c>
      <c r="E1679" s="75" t="str">
        <f t="shared" si="32"/>
        <v>০</v>
      </c>
      <c r="F1679" s="22" t="str">
        <f>"8119457812111"</f>
        <v>8119457812111</v>
      </c>
      <c r="G1679" s="75" t="str">
        <f>"১৩০৩০৬১৮০৯৭৪"</f>
        <v>১৩০৩০৬১৮০৯৭৪</v>
      </c>
      <c r="H1679" s="75" t="s">
        <v>362</v>
      </c>
      <c r="I1679" s="75" t="s">
        <v>362</v>
      </c>
      <c r="J1679" s="4"/>
    </row>
    <row r="1680" spans="1:10" x14ac:dyDescent="0.25">
      <c r="A1680" s="39">
        <v>1679</v>
      </c>
      <c r="B1680" s="3" t="s">
        <v>533</v>
      </c>
      <c r="C1680" s="75" t="s">
        <v>2971</v>
      </c>
      <c r="D1680" s="75" t="s">
        <v>453</v>
      </c>
      <c r="E1680" s="75" t="str">
        <f t="shared" si="32"/>
        <v>০</v>
      </c>
      <c r="F1680" s="22" t="str">
        <f>"8119457812286"</f>
        <v>8119457812286</v>
      </c>
      <c r="G1680" s="75" t="str">
        <f>"১৩০৩০৬১৮০৯৭৩"</f>
        <v>১৩০৩০৬১৮০৯৭৩</v>
      </c>
      <c r="H1680" s="75" t="s">
        <v>322</v>
      </c>
      <c r="I1680" s="75" t="s">
        <v>322</v>
      </c>
      <c r="J1680" s="4"/>
    </row>
    <row r="1681" spans="1:10" x14ac:dyDescent="0.25">
      <c r="A1681" s="39">
        <v>1680</v>
      </c>
      <c r="B1681" s="3" t="s">
        <v>576</v>
      </c>
      <c r="C1681" s="75" t="s">
        <v>577</v>
      </c>
      <c r="D1681" s="75" t="s">
        <v>453</v>
      </c>
      <c r="E1681" s="75" t="str">
        <f t="shared" si="32"/>
        <v>০</v>
      </c>
      <c r="F1681" s="22" t="str">
        <f>"8119457812237"</f>
        <v>8119457812237</v>
      </c>
      <c r="G1681" s="75" t="str">
        <f>"১৩০৩০৬১৮০৯৭২"</f>
        <v>১৩০৩০৬১৮০৯৭২</v>
      </c>
      <c r="H1681" s="75" t="s">
        <v>392</v>
      </c>
      <c r="I1681" s="75" t="s">
        <v>392</v>
      </c>
      <c r="J1681" s="4"/>
    </row>
    <row r="1682" spans="1:10" x14ac:dyDescent="0.25">
      <c r="A1682" s="39">
        <v>1681</v>
      </c>
      <c r="B1682" s="3" t="s">
        <v>578</v>
      </c>
      <c r="C1682" s="75" t="s">
        <v>579</v>
      </c>
      <c r="D1682" s="75" t="s">
        <v>453</v>
      </c>
      <c r="E1682" s="75" t="str">
        <f t="shared" si="32"/>
        <v>০</v>
      </c>
      <c r="F1682" s="22" t="str">
        <f>"8119457812188"</f>
        <v>8119457812188</v>
      </c>
      <c r="G1682" s="75" t="str">
        <f>"১৩০৩০৬১৮০৯৭১"</f>
        <v>১৩০৩০৬১৮০৯৭১</v>
      </c>
      <c r="H1682" s="75" t="s">
        <v>321</v>
      </c>
      <c r="I1682" s="75" t="s">
        <v>321</v>
      </c>
      <c r="J1682" s="4"/>
    </row>
    <row r="1683" spans="1:10" x14ac:dyDescent="0.25">
      <c r="A1683" s="39">
        <v>1682</v>
      </c>
      <c r="B1683" s="3" t="s">
        <v>44</v>
      </c>
      <c r="C1683" s="75" t="s">
        <v>433</v>
      </c>
      <c r="D1683" s="75" t="s">
        <v>453</v>
      </c>
      <c r="E1683" s="75" t="str">
        <f t="shared" si="32"/>
        <v>০</v>
      </c>
      <c r="F1683" s="22" t="str">
        <f>"8119457812160"</f>
        <v>8119457812160</v>
      </c>
      <c r="G1683" s="75" t="str">
        <f>"১৩০৩০৬১৮০৯৭০"</f>
        <v>১৩০৩০৬১৮০৯৭০</v>
      </c>
      <c r="H1683" s="75" t="s">
        <v>371</v>
      </c>
      <c r="I1683" s="75" t="s">
        <v>371</v>
      </c>
      <c r="J1683" s="4"/>
    </row>
    <row r="1684" spans="1:10" x14ac:dyDescent="0.25">
      <c r="A1684" s="39">
        <v>1683</v>
      </c>
      <c r="B1684" s="3" t="s">
        <v>580</v>
      </c>
      <c r="C1684" s="75" t="s">
        <v>581</v>
      </c>
      <c r="D1684" s="75" t="s">
        <v>453</v>
      </c>
      <c r="E1684" s="75" t="str">
        <f t="shared" si="32"/>
        <v>০</v>
      </c>
      <c r="F1684" s="22" t="str">
        <f>"8119457812622"</f>
        <v>8119457812622</v>
      </c>
      <c r="G1684" s="75" t="str">
        <f>"১৩০৩০৬১৮০৯৬৯"</f>
        <v>১৩০৩০৬১৮০৯৬৯</v>
      </c>
      <c r="H1684" s="75" t="s">
        <v>323</v>
      </c>
      <c r="I1684" s="75" t="s">
        <v>323</v>
      </c>
      <c r="J1684" s="4"/>
    </row>
    <row r="1685" spans="1:10" x14ac:dyDescent="0.25">
      <c r="A1685" s="39">
        <v>1684</v>
      </c>
      <c r="B1685" s="3" t="s">
        <v>582</v>
      </c>
      <c r="C1685" s="75" t="s">
        <v>583</v>
      </c>
      <c r="D1685" s="75" t="s">
        <v>453</v>
      </c>
      <c r="E1685" s="75" t="str">
        <f t="shared" si="32"/>
        <v>০</v>
      </c>
      <c r="F1685" s="22" t="str">
        <f>"8119457812225"</f>
        <v>8119457812225</v>
      </c>
      <c r="G1685" s="75" t="str">
        <f>"১৩০৩০৬১৮০৯৬৮"</f>
        <v>১৩০৩০৬১৮০৯৬৮</v>
      </c>
      <c r="H1685" s="75" t="s">
        <v>323</v>
      </c>
      <c r="I1685" s="75" t="s">
        <v>323</v>
      </c>
      <c r="J1685" s="4"/>
    </row>
    <row r="1686" spans="1:10" x14ac:dyDescent="0.25">
      <c r="A1686" s="39">
        <v>1685</v>
      </c>
      <c r="B1686" s="3" t="s">
        <v>584</v>
      </c>
      <c r="C1686" s="75" t="s">
        <v>585</v>
      </c>
      <c r="D1686" s="75" t="s">
        <v>453</v>
      </c>
      <c r="E1686" s="75" t="str">
        <f t="shared" si="32"/>
        <v>০</v>
      </c>
      <c r="F1686" s="22" t="str">
        <f>"8119457812103"</f>
        <v>8119457812103</v>
      </c>
      <c r="G1686" s="75" t="str">
        <f>"১৩০৩০৬১৮০৯৬৭"</f>
        <v>১৩০৩০৬১৮০৯৬৭</v>
      </c>
      <c r="H1686" s="75" t="s">
        <v>404</v>
      </c>
      <c r="I1686" s="75" t="s">
        <v>404</v>
      </c>
      <c r="J1686" s="4"/>
    </row>
    <row r="1687" spans="1:10" x14ac:dyDescent="0.25">
      <c r="A1687" s="39">
        <v>1686</v>
      </c>
      <c r="B1687" s="3" t="s">
        <v>127</v>
      </c>
      <c r="C1687" s="75" t="s">
        <v>584</v>
      </c>
      <c r="D1687" s="75" t="s">
        <v>453</v>
      </c>
      <c r="E1687" s="75" t="str">
        <f t="shared" si="32"/>
        <v>০</v>
      </c>
      <c r="F1687" s="22" t="str">
        <f>"8119457812112"</f>
        <v>8119457812112</v>
      </c>
      <c r="G1687" s="75" t="str">
        <f>"১৩০৩০৬১৮০৯৬৬"</f>
        <v>১৩০৩০৬১৮০৯৬৬</v>
      </c>
      <c r="H1687" s="75" t="s">
        <v>362</v>
      </c>
      <c r="I1687" s="75" t="s">
        <v>362</v>
      </c>
      <c r="J1687" s="4"/>
    </row>
    <row r="1688" spans="1:10" x14ac:dyDescent="0.25">
      <c r="A1688" s="39">
        <v>1687</v>
      </c>
      <c r="B1688" s="3" t="s">
        <v>586</v>
      </c>
      <c r="C1688" s="75" t="s">
        <v>2</v>
      </c>
      <c r="D1688" s="75" t="s">
        <v>453</v>
      </c>
      <c r="E1688" s="75" t="str">
        <f t="shared" si="32"/>
        <v>০</v>
      </c>
      <c r="F1688" s="22" t="str">
        <f>"8119457812353"</f>
        <v>8119457812353</v>
      </c>
      <c r="G1688" s="75" t="str">
        <f>"১৩০৩০৬১৮০৯৬৫"</f>
        <v>১৩০৩০৬১৮০৯৬৫</v>
      </c>
      <c r="H1688" s="75" t="s">
        <v>407</v>
      </c>
      <c r="I1688" s="75" t="s">
        <v>407</v>
      </c>
      <c r="J1688" s="4"/>
    </row>
    <row r="1689" spans="1:10" x14ac:dyDescent="0.25">
      <c r="A1689" s="39">
        <v>1688</v>
      </c>
      <c r="B1689" s="3" t="s">
        <v>587</v>
      </c>
      <c r="C1689" s="75" t="s">
        <v>588</v>
      </c>
      <c r="D1689" s="75" t="s">
        <v>453</v>
      </c>
      <c r="E1689" s="75" t="str">
        <f t="shared" si="32"/>
        <v>০</v>
      </c>
      <c r="F1689" s="22" t="str">
        <f>"8119457812219"</f>
        <v>8119457812219</v>
      </c>
      <c r="G1689" s="75" t="str">
        <f>"১৩০৩০৬১৮০৯৬৪"</f>
        <v>১৩০৩০৬১৮০৯৬৪</v>
      </c>
      <c r="H1689" s="75" t="s">
        <v>371</v>
      </c>
      <c r="I1689" s="75" t="s">
        <v>371</v>
      </c>
      <c r="J1689" s="4"/>
    </row>
    <row r="1690" spans="1:10" x14ac:dyDescent="0.25">
      <c r="A1690" s="39">
        <v>1689</v>
      </c>
      <c r="B1690" s="3" t="s">
        <v>589</v>
      </c>
      <c r="C1690" s="75" t="s">
        <v>590</v>
      </c>
      <c r="D1690" s="75" t="s">
        <v>453</v>
      </c>
      <c r="E1690" s="75" t="str">
        <f t="shared" si="32"/>
        <v>০</v>
      </c>
      <c r="F1690" s="22" t="str">
        <f>"8119457812077"</f>
        <v>8119457812077</v>
      </c>
      <c r="G1690" s="75" t="str">
        <f>"১৩০৩০৬১৮০৯৬৩"</f>
        <v>১৩০৩০৬১৮০৯৬৩</v>
      </c>
      <c r="H1690" s="75" t="s">
        <v>376</v>
      </c>
      <c r="I1690" s="75" t="s">
        <v>376</v>
      </c>
      <c r="J1690" s="4"/>
    </row>
    <row r="1691" spans="1:10" x14ac:dyDescent="0.25">
      <c r="A1691" s="39">
        <v>1690</v>
      </c>
      <c r="B1691" s="3" t="s">
        <v>591</v>
      </c>
      <c r="C1691" s="75" t="s">
        <v>592</v>
      </c>
      <c r="D1691" s="75" t="s">
        <v>453</v>
      </c>
      <c r="E1691" s="75" t="str">
        <f t="shared" si="32"/>
        <v>০</v>
      </c>
      <c r="F1691" s="22" t="str">
        <f>"8119457812349"</f>
        <v>8119457812349</v>
      </c>
      <c r="G1691" s="75" t="str">
        <f>"১৩০৩০৬১৮০৯৬২"</f>
        <v>১৩০৩০৬১৮০৯৬২</v>
      </c>
      <c r="H1691" s="75" t="s">
        <v>322</v>
      </c>
      <c r="I1691" s="75" t="s">
        <v>322</v>
      </c>
      <c r="J1691" s="4"/>
    </row>
    <row r="1692" spans="1:10" x14ac:dyDescent="0.25">
      <c r="A1692" s="39">
        <v>1691</v>
      </c>
      <c r="B1692" s="3" t="s">
        <v>475</v>
      </c>
      <c r="C1692" s="75" t="s">
        <v>593</v>
      </c>
      <c r="D1692" s="75" t="s">
        <v>453</v>
      </c>
      <c r="E1692" s="75" t="str">
        <f t="shared" si="32"/>
        <v>০</v>
      </c>
      <c r="F1692" s="22" t="str">
        <f>"8119457812371"</f>
        <v>8119457812371</v>
      </c>
      <c r="G1692" s="75" t="str">
        <f>"১৩০৩০৬১৮০৯৬১"</f>
        <v>১৩০৩০৬১৮০৯৬১</v>
      </c>
      <c r="H1692" s="75" t="s">
        <v>371</v>
      </c>
      <c r="I1692" s="75" t="s">
        <v>371</v>
      </c>
      <c r="J1692" s="4"/>
    </row>
    <row r="1693" spans="1:10" x14ac:dyDescent="0.25">
      <c r="A1693" s="39">
        <v>1692</v>
      </c>
      <c r="B1693" s="3" t="s">
        <v>232</v>
      </c>
      <c r="C1693" s="75" t="s">
        <v>594</v>
      </c>
      <c r="D1693" s="75" t="s">
        <v>453</v>
      </c>
      <c r="E1693" s="75" t="str">
        <f t="shared" si="32"/>
        <v>০</v>
      </c>
      <c r="F1693" s="22" t="str">
        <f>"8119457812074"</f>
        <v>8119457812074</v>
      </c>
      <c r="G1693" s="75" t="str">
        <f>"১৩০৩০৬১৮০৯৬০"</f>
        <v>১৩০৩০৬১৮০৯৬০</v>
      </c>
      <c r="H1693" s="75" t="s">
        <v>362</v>
      </c>
      <c r="I1693" s="75" t="s">
        <v>362</v>
      </c>
      <c r="J1693" s="4"/>
    </row>
    <row r="1694" spans="1:10" x14ac:dyDescent="0.25">
      <c r="A1694" s="39">
        <v>1693</v>
      </c>
      <c r="B1694" s="3" t="s">
        <v>595</v>
      </c>
      <c r="C1694" s="75" t="s">
        <v>447</v>
      </c>
      <c r="D1694" s="75" t="s">
        <v>453</v>
      </c>
      <c r="E1694" s="75" t="str">
        <f t="shared" si="32"/>
        <v>০</v>
      </c>
      <c r="F1694" s="22" t="str">
        <f>"8119457812161"</f>
        <v>8119457812161</v>
      </c>
      <c r="G1694" s="75" t="str">
        <f>"১৩০৩০৬১৮০৯৫৯"</f>
        <v>১৩০৩০৬১৮০৯৫৯</v>
      </c>
      <c r="H1694" s="75" t="s">
        <v>371</v>
      </c>
      <c r="I1694" s="75" t="s">
        <v>371</v>
      </c>
      <c r="J1694" s="4"/>
    </row>
    <row r="1695" spans="1:10" x14ac:dyDescent="0.25">
      <c r="A1695" s="39">
        <v>1694</v>
      </c>
      <c r="B1695" s="3" t="s">
        <v>2263</v>
      </c>
      <c r="C1695" s="75" t="s">
        <v>2972</v>
      </c>
      <c r="D1695" s="75" t="s">
        <v>453</v>
      </c>
      <c r="E1695" s="75" t="str">
        <f t="shared" si="32"/>
        <v>০</v>
      </c>
      <c r="F1695" s="22" t="str">
        <f>"8119457812244"</f>
        <v>8119457812244</v>
      </c>
      <c r="G1695" s="75" t="str">
        <f>"১৩০৩০৬১৮০৯৫৮"</f>
        <v>১৩০৩০৬১৮০৯৫৮</v>
      </c>
      <c r="H1695" s="75" t="s">
        <v>346</v>
      </c>
      <c r="I1695" s="75" t="s">
        <v>346</v>
      </c>
      <c r="J1695" s="4"/>
    </row>
    <row r="1696" spans="1:10" x14ac:dyDescent="0.25">
      <c r="A1696" s="39">
        <v>1695</v>
      </c>
      <c r="B1696" s="3" t="s">
        <v>596</v>
      </c>
      <c r="C1696" s="75" t="s">
        <v>597</v>
      </c>
      <c r="D1696" s="75" t="s">
        <v>453</v>
      </c>
      <c r="E1696" s="75" t="str">
        <f t="shared" si="32"/>
        <v>০</v>
      </c>
      <c r="F1696" s="22" t="str">
        <f>"8119457812254"</f>
        <v>8119457812254</v>
      </c>
      <c r="G1696" s="75" t="str">
        <f>"১৩০৩০৬১৮০৯৫৭"</f>
        <v>১৩০৩০৬১৮০৯৫৭</v>
      </c>
      <c r="H1696" s="75" t="s">
        <v>371</v>
      </c>
      <c r="I1696" s="75" t="s">
        <v>371</v>
      </c>
      <c r="J1696" s="4"/>
    </row>
    <row r="1697" spans="1:10" x14ac:dyDescent="0.25">
      <c r="A1697" s="39">
        <v>1696</v>
      </c>
      <c r="B1697" s="3" t="s">
        <v>2973</v>
      </c>
      <c r="C1697" s="75" t="s">
        <v>2974</v>
      </c>
      <c r="D1697" s="75" t="s">
        <v>453</v>
      </c>
      <c r="E1697" s="75" t="str">
        <f t="shared" si="32"/>
        <v>০</v>
      </c>
      <c r="F1697" s="22" t="str">
        <f>"8119457812276"</f>
        <v>8119457812276</v>
      </c>
      <c r="G1697" s="75" t="str">
        <f>"১৩০৩০৬১৮০৯৫৬"</f>
        <v>১৩০৩০৬১৮০৯৫৬</v>
      </c>
      <c r="H1697" s="75" t="s">
        <v>323</v>
      </c>
      <c r="I1697" s="75" t="s">
        <v>323</v>
      </c>
      <c r="J1697" s="4"/>
    </row>
    <row r="1698" spans="1:10" x14ac:dyDescent="0.25">
      <c r="A1698" s="39">
        <v>1697</v>
      </c>
      <c r="B1698" s="3" t="s">
        <v>598</v>
      </c>
      <c r="C1698" s="75" t="s">
        <v>599</v>
      </c>
      <c r="D1698" s="75" t="s">
        <v>453</v>
      </c>
      <c r="E1698" s="75" t="str">
        <f t="shared" si="32"/>
        <v>০</v>
      </c>
      <c r="F1698" s="22" t="str">
        <f>"8119457812115"</f>
        <v>8119457812115</v>
      </c>
      <c r="G1698" s="75" t="str">
        <f>"১৩০৩০৬১৮০৯৫৫"</f>
        <v>১৩০৩০৬১৮০৯৫৫</v>
      </c>
      <c r="H1698" s="75" t="s">
        <v>322</v>
      </c>
      <c r="I1698" s="75" t="s">
        <v>322</v>
      </c>
      <c r="J1698" s="4"/>
    </row>
    <row r="1699" spans="1:10" x14ac:dyDescent="0.25">
      <c r="A1699" s="39">
        <v>1698</v>
      </c>
      <c r="B1699" s="3" t="s">
        <v>351</v>
      </c>
      <c r="C1699" s="75" t="s">
        <v>447</v>
      </c>
      <c r="D1699" s="75" t="s">
        <v>453</v>
      </c>
      <c r="E1699" s="75" t="str">
        <f t="shared" si="32"/>
        <v>০</v>
      </c>
      <c r="F1699" s="22" t="str">
        <f>"8119457812168"</f>
        <v>8119457812168</v>
      </c>
      <c r="G1699" s="75" t="str">
        <f>"১৩০৩০৬১৮০৯৫৪"</f>
        <v>১৩০৩০৬১৮০৯৫৪</v>
      </c>
      <c r="H1699" s="75" t="s">
        <v>357</v>
      </c>
      <c r="I1699" s="75" t="s">
        <v>357</v>
      </c>
      <c r="J1699" s="4"/>
    </row>
    <row r="1700" spans="1:10" x14ac:dyDescent="0.25">
      <c r="A1700" s="39">
        <v>1699</v>
      </c>
      <c r="B1700" s="3" t="s">
        <v>600</v>
      </c>
      <c r="C1700" s="75" t="s">
        <v>601</v>
      </c>
      <c r="D1700" s="75" t="s">
        <v>453</v>
      </c>
      <c r="E1700" s="75" t="str">
        <f t="shared" si="32"/>
        <v>০</v>
      </c>
      <c r="F1700" s="22" t="str">
        <f>"8119457812110"</f>
        <v>8119457812110</v>
      </c>
      <c r="G1700" s="75" t="str">
        <f>"১৩০৩০৬১৮০৯৫৩"</f>
        <v>১৩০৩০৬১৮০৯৫৩</v>
      </c>
      <c r="H1700" s="75" t="s">
        <v>323</v>
      </c>
      <c r="I1700" s="75" t="s">
        <v>323</v>
      </c>
      <c r="J1700" s="4"/>
    </row>
    <row r="1701" spans="1:10" x14ac:dyDescent="0.25">
      <c r="A1701" s="39">
        <v>1700</v>
      </c>
      <c r="B1701" s="3" t="s">
        <v>602</v>
      </c>
      <c r="C1701" s="75" t="s">
        <v>603</v>
      </c>
      <c r="D1701" s="75" t="s">
        <v>453</v>
      </c>
      <c r="E1701" s="75" t="str">
        <f t="shared" si="32"/>
        <v>০</v>
      </c>
      <c r="F1701" s="22" t="str">
        <f>"8119457812256"</f>
        <v>8119457812256</v>
      </c>
      <c r="G1701" s="75" t="str">
        <f>"১৩০৩০৬১৮০৯৫২"</f>
        <v>১৩০৩০৬১৮০৯৫২</v>
      </c>
      <c r="H1701" s="75" t="s">
        <v>362</v>
      </c>
      <c r="I1701" s="75" t="s">
        <v>362</v>
      </c>
      <c r="J1701" s="4"/>
    </row>
    <row r="1702" spans="1:10" x14ac:dyDescent="0.25">
      <c r="A1702" s="39">
        <v>1701</v>
      </c>
      <c r="B1702" s="3" t="s">
        <v>604</v>
      </c>
      <c r="C1702" s="75" t="s">
        <v>605</v>
      </c>
      <c r="D1702" s="75" t="s">
        <v>453</v>
      </c>
      <c r="E1702" s="75" t="str">
        <f t="shared" si="32"/>
        <v>০</v>
      </c>
      <c r="F1702" s="22" t="str">
        <f>"8119457812"</f>
        <v>8119457812</v>
      </c>
      <c r="G1702" s="75" t="str">
        <f>"১৩০৩০৬১৮০৯৫০"</f>
        <v>১৩০৩০৬১৮০৯৫০</v>
      </c>
      <c r="H1702" s="75" t="s">
        <v>420</v>
      </c>
      <c r="I1702" s="75" t="s">
        <v>420</v>
      </c>
      <c r="J1702" s="4"/>
    </row>
    <row r="1703" spans="1:10" x14ac:dyDescent="0.25">
      <c r="A1703" s="39">
        <v>1702</v>
      </c>
      <c r="B1703" s="3" t="s">
        <v>95</v>
      </c>
      <c r="C1703" s="75" t="s">
        <v>73</v>
      </c>
      <c r="D1703" s="75" t="s">
        <v>453</v>
      </c>
      <c r="E1703" s="75" t="str">
        <f t="shared" ref="E1703:E1766" si="33">"০"</f>
        <v>০</v>
      </c>
      <c r="F1703" s="22" t="str">
        <f>"8119457812333"</f>
        <v>8119457812333</v>
      </c>
      <c r="G1703" s="75" t="str">
        <f>"১৩০৩০৬১৮০৯৪৯"</f>
        <v>১৩০৩০৬১৮০৯৪৯</v>
      </c>
      <c r="H1703" s="75" t="s">
        <v>371</v>
      </c>
      <c r="I1703" s="75" t="s">
        <v>371</v>
      </c>
      <c r="J1703" s="4"/>
    </row>
    <row r="1704" spans="1:10" x14ac:dyDescent="0.25">
      <c r="A1704" s="39">
        <v>1703</v>
      </c>
      <c r="B1704" s="3" t="s">
        <v>606</v>
      </c>
      <c r="C1704" s="75" t="s">
        <v>607</v>
      </c>
      <c r="D1704" s="75" t="s">
        <v>453</v>
      </c>
      <c r="E1704" s="75" t="str">
        <f t="shared" si="33"/>
        <v>০</v>
      </c>
      <c r="F1704" s="22" t="str">
        <f>"8119457812100"</f>
        <v>8119457812100</v>
      </c>
      <c r="G1704" s="75" t="str">
        <f>"১৩০৩০৬১৮০৯৪৮"</f>
        <v>১৩০৩০৬১৮০৯৪৮</v>
      </c>
      <c r="H1704" s="75" t="s">
        <v>346</v>
      </c>
      <c r="I1704" s="75" t="s">
        <v>346</v>
      </c>
      <c r="J1704" s="4"/>
    </row>
    <row r="1705" spans="1:10" x14ac:dyDescent="0.25">
      <c r="A1705" s="39">
        <v>1704</v>
      </c>
      <c r="B1705" s="3" t="s">
        <v>381</v>
      </c>
      <c r="C1705" s="75" t="s">
        <v>370</v>
      </c>
      <c r="D1705" s="75" t="s">
        <v>453</v>
      </c>
      <c r="E1705" s="75" t="str">
        <f t="shared" si="33"/>
        <v>০</v>
      </c>
      <c r="F1705" s="22" t="str">
        <f>"8119457812328"</f>
        <v>8119457812328</v>
      </c>
      <c r="G1705" s="75" t="str">
        <f>"১৩০৩০৬১৮০৯৪৭"</f>
        <v>১৩০৩০৬১৮০৯৪৭</v>
      </c>
      <c r="H1705" s="75" t="s">
        <v>357</v>
      </c>
      <c r="I1705" s="75" t="s">
        <v>357</v>
      </c>
      <c r="J1705" s="4"/>
    </row>
    <row r="1706" spans="1:10" x14ac:dyDescent="0.25">
      <c r="A1706" s="39">
        <v>1705</v>
      </c>
      <c r="B1706" s="3" t="s">
        <v>608</v>
      </c>
      <c r="C1706" s="75" t="s">
        <v>73</v>
      </c>
      <c r="D1706" s="75" t="s">
        <v>453</v>
      </c>
      <c r="E1706" s="75" t="str">
        <f t="shared" si="33"/>
        <v>০</v>
      </c>
      <c r="F1706" s="22" t="str">
        <f>"8119457812143"</f>
        <v>8119457812143</v>
      </c>
      <c r="G1706" s="75" t="str">
        <f>"১৩০৩০৬১৮০৯৪৬"</f>
        <v>১৩০৩০৬১৮০৯৪৬</v>
      </c>
      <c r="H1706" s="75" t="s">
        <v>322</v>
      </c>
      <c r="I1706" s="75" t="s">
        <v>322</v>
      </c>
      <c r="J1706" s="4"/>
    </row>
    <row r="1707" spans="1:10" x14ac:dyDescent="0.25">
      <c r="A1707" s="39">
        <v>1706</v>
      </c>
      <c r="B1707" s="3" t="s">
        <v>2004</v>
      </c>
      <c r="C1707" s="75" t="s">
        <v>2975</v>
      </c>
      <c r="D1707" s="75" t="s">
        <v>453</v>
      </c>
      <c r="E1707" s="75" t="str">
        <f t="shared" si="33"/>
        <v>০</v>
      </c>
      <c r="F1707" s="22" t="str">
        <f>"8119457812329"</f>
        <v>8119457812329</v>
      </c>
      <c r="G1707" s="75" t="str">
        <f>"১৩০৩০৬১৮০৯৪৫"</f>
        <v>১৩০৩০৬১৮০৯৪৫</v>
      </c>
      <c r="H1707" s="75" t="s">
        <v>321</v>
      </c>
      <c r="I1707" s="75" t="s">
        <v>321</v>
      </c>
      <c r="J1707" s="4"/>
    </row>
    <row r="1708" spans="1:10" x14ac:dyDescent="0.25">
      <c r="A1708" s="39">
        <v>1707</v>
      </c>
      <c r="B1708" s="3" t="s">
        <v>609</v>
      </c>
      <c r="C1708" s="75" t="s">
        <v>610</v>
      </c>
      <c r="D1708" s="75" t="s">
        <v>453</v>
      </c>
      <c r="E1708" s="75" t="str">
        <f t="shared" si="33"/>
        <v>০</v>
      </c>
      <c r="F1708" s="22" t="str">
        <f>"8119457812229"</f>
        <v>8119457812229</v>
      </c>
      <c r="G1708" s="75" t="str">
        <f>"১৩০৩০৬১৮০৯৪৪"</f>
        <v>১৩০৩০৬১৮০৯৪৪</v>
      </c>
      <c r="H1708" s="75" t="s">
        <v>371</v>
      </c>
      <c r="I1708" s="75" t="s">
        <v>371</v>
      </c>
      <c r="J1708" s="4"/>
    </row>
    <row r="1709" spans="1:10" x14ac:dyDescent="0.25">
      <c r="A1709" s="39">
        <v>1708</v>
      </c>
      <c r="B1709" s="3" t="s">
        <v>554</v>
      </c>
      <c r="C1709" s="75" t="s">
        <v>611</v>
      </c>
      <c r="D1709" s="75" t="s">
        <v>453</v>
      </c>
      <c r="E1709" s="75" t="str">
        <f t="shared" si="33"/>
        <v>০</v>
      </c>
      <c r="F1709" s="22" t="str">
        <f>"8119457812127"</f>
        <v>8119457812127</v>
      </c>
      <c r="G1709" s="75" t="str">
        <f>"১৩০৩০৬১৮০৯৪৩"</f>
        <v>১৩০৩০৬১৮০৯৪৩</v>
      </c>
      <c r="H1709" s="75" t="s">
        <v>424</v>
      </c>
      <c r="I1709" s="75" t="s">
        <v>424</v>
      </c>
      <c r="J1709" s="4"/>
    </row>
    <row r="1710" spans="1:10" x14ac:dyDescent="0.25">
      <c r="A1710" s="39">
        <v>1709</v>
      </c>
      <c r="B1710" s="3" t="s">
        <v>612</v>
      </c>
      <c r="C1710" s="75" t="s">
        <v>613</v>
      </c>
      <c r="D1710" s="75" t="s">
        <v>453</v>
      </c>
      <c r="E1710" s="75" t="str">
        <f t="shared" si="33"/>
        <v>০</v>
      </c>
      <c r="F1710" s="22" t="str">
        <f>"8119457812122"</f>
        <v>8119457812122</v>
      </c>
      <c r="G1710" s="75" t="str">
        <f>"১৩০৩০৬১৮০৯৪২"</f>
        <v>১৩০৩০৬১৮০৯৪২</v>
      </c>
      <c r="H1710" s="75" t="s">
        <v>425</v>
      </c>
      <c r="I1710" s="75" t="s">
        <v>425</v>
      </c>
      <c r="J1710" s="4"/>
    </row>
    <row r="1711" spans="1:10" x14ac:dyDescent="0.25">
      <c r="A1711" s="39">
        <v>1710</v>
      </c>
      <c r="B1711" s="3" t="s">
        <v>614</v>
      </c>
      <c r="C1711" s="75" t="s">
        <v>615</v>
      </c>
      <c r="D1711" s="75" t="s">
        <v>453</v>
      </c>
      <c r="E1711" s="75" t="str">
        <f t="shared" si="33"/>
        <v>০</v>
      </c>
      <c r="F1711" s="22" t="str">
        <f>"8119457812131"</f>
        <v>8119457812131</v>
      </c>
      <c r="G1711" s="75" t="str">
        <f>"১৩০৩০৬১৮০৯৪১"</f>
        <v>১৩০৩০৬১৮০৯৪১</v>
      </c>
      <c r="H1711" s="75" t="s">
        <v>424</v>
      </c>
      <c r="I1711" s="75" t="s">
        <v>424</v>
      </c>
      <c r="J1711" s="4"/>
    </row>
    <row r="1712" spans="1:10" x14ac:dyDescent="0.25">
      <c r="A1712" s="39">
        <v>1711</v>
      </c>
      <c r="B1712" s="3" t="s">
        <v>616</v>
      </c>
      <c r="C1712" s="75" t="s">
        <v>617</v>
      </c>
      <c r="D1712" s="75" t="s">
        <v>453</v>
      </c>
      <c r="E1712" s="75" t="str">
        <f t="shared" si="33"/>
        <v>০</v>
      </c>
      <c r="F1712" s="22" t="str">
        <f>"8119457812356"</f>
        <v>8119457812356</v>
      </c>
      <c r="G1712" s="75" t="str">
        <f>"১৩০৩০৬১৮০৯৪০"</f>
        <v>১৩০৩০৬১৮০৯৪০</v>
      </c>
      <c r="H1712" s="75" t="s">
        <v>323</v>
      </c>
      <c r="I1712" s="75" t="s">
        <v>323</v>
      </c>
      <c r="J1712" s="4"/>
    </row>
    <row r="1713" spans="1:10" x14ac:dyDescent="0.25">
      <c r="A1713" s="39">
        <v>1712</v>
      </c>
      <c r="B1713" s="3" t="s">
        <v>618</v>
      </c>
      <c r="C1713" s="75" t="s">
        <v>619</v>
      </c>
      <c r="D1713" s="75" t="s">
        <v>453</v>
      </c>
      <c r="E1713" s="75" t="str">
        <f t="shared" si="33"/>
        <v>০</v>
      </c>
      <c r="F1713" s="22" t="str">
        <f>"8119457812452"</f>
        <v>8119457812452</v>
      </c>
      <c r="G1713" s="75" t="str">
        <f>"১৩০৩০৬১৮০৯৩৯"</f>
        <v>১৩০৩০৬১৮০৯৩৯</v>
      </c>
      <c r="H1713" s="75" t="s">
        <v>319</v>
      </c>
      <c r="I1713" s="75" t="s">
        <v>319</v>
      </c>
      <c r="J1713" s="4"/>
    </row>
    <row r="1714" spans="1:10" x14ac:dyDescent="0.25">
      <c r="A1714" s="39">
        <v>1713</v>
      </c>
      <c r="B1714" s="3" t="s">
        <v>620</v>
      </c>
      <c r="C1714" s="75" t="s">
        <v>601</v>
      </c>
      <c r="D1714" s="75" t="s">
        <v>453</v>
      </c>
      <c r="E1714" s="75" t="str">
        <f t="shared" si="33"/>
        <v>০</v>
      </c>
      <c r="F1714" s="22" t="str">
        <f>"8119457812119"</f>
        <v>8119457812119</v>
      </c>
      <c r="G1714" s="75" t="str">
        <f>"১৩০৩০৬১৮০৯৩৮"</f>
        <v>১৩০৩০৬১৮০৯৩৮</v>
      </c>
      <c r="H1714" s="75" t="s">
        <v>346</v>
      </c>
      <c r="I1714" s="75" t="s">
        <v>346</v>
      </c>
      <c r="J1714" s="4"/>
    </row>
    <row r="1715" spans="1:10" x14ac:dyDescent="0.25">
      <c r="A1715" s="39">
        <v>1714</v>
      </c>
      <c r="B1715" s="3" t="s">
        <v>621</v>
      </c>
      <c r="C1715" s="75" t="s">
        <v>622</v>
      </c>
      <c r="D1715" s="75" t="s">
        <v>453</v>
      </c>
      <c r="E1715" s="75" t="str">
        <f t="shared" si="33"/>
        <v>০</v>
      </c>
      <c r="F1715" s="22" t="str">
        <f>"8119457812136"</f>
        <v>8119457812136</v>
      </c>
      <c r="G1715" s="75" t="str">
        <f>"১৩০৩০৬১৮০৯৩৭"</f>
        <v>১৩০৩০৬১৮০৯৩৭</v>
      </c>
      <c r="H1715" s="75" t="s">
        <v>346</v>
      </c>
      <c r="I1715" s="75" t="s">
        <v>346</v>
      </c>
      <c r="J1715" s="4"/>
    </row>
    <row r="1716" spans="1:10" x14ac:dyDescent="0.25">
      <c r="A1716" s="39">
        <v>1715</v>
      </c>
      <c r="B1716" s="3" t="s">
        <v>623</v>
      </c>
      <c r="C1716" s="75" t="s">
        <v>423</v>
      </c>
      <c r="D1716" s="75" t="s">
        <v>453</v>
      </c>
      <c r="E1716" s="75" t="str">
        <f t="shared" si="33"/>
        <v>০</v>
      </c>
      <c r="F1716" s="22" t="str">
        <f>"8119457812116"</f>
        <v>8119457812116</v>
      </c>
      <c r="G1716" s="75" t="str">
        <f>"১৩০৩০৬১৮০৯৩৬"</f>
        <v>১৩০৩০৬১৮০৯৩৬</v>
      </c>
      <c r="H1716" s="75" t="s">
        <v>371</v>
      </c>
      <c r="I1716" s="75" t="s">
        <v>371</v>
      </c>
      <c r="J1716" s="4"/>
    </row>
    <row r="1717" spans="1:10" x14ac:dyDescent="0.25">
      <c r="A1717" s="39">
        <v>1716</v>
      </c>
      <c r="B1717" s="3" t="s">
        <v>610</v>
      </c>
      <c r="C1717" s="75" t="s">
        <v>2976</v>
      </c>
      <c r="D1717" s="75" t="s">
        <v>453</v>
      </c>
      <c r="E1717" s="75" t="str">
        <f t="shared" si="33"/>
        <v>০</v>
      </c>
      <c r="F1717" s="22" t="str">
        <f>"8119457812223"</f>
        <v>8119457812223</v>
      </c>
      <c r="G1717" s="75" t="str">
        <f>"১৩০৩০৬১৮০৯৩৫"</f>
        <v>১৩০৩০৬১৮০৯৩৫</v>
      </c>
      <c r="H1717" s="75" t="s">
        <v>323</v>
      </c>
      <c r="I1717" s="75" t="s">
        <v>323</v>
      </c>
      <c r="J1717" s="4"/>
    </row>
    <row r="1718" spans="1:10" x14ac:dyDescent="0.25">
      <c r="A1718" s="39">
        <v>1717</v>
      </c>
      <c r="B1718" s="3" t="s">
        <v>624</v>
      </c>
      <c r="C1718" s="75" t="s">
        <v>625</v>
      </c>
      <c r="D1718" s="75" t="s">
        <v>453</v>
      </c>
      <c r="E1718" s="75" t="str">
        <f t="shared" si="33"/>
        <v>০</v>
      </c>
      <c r="F1718" s="22" t="str">
        <f>"8119457812199"</f>
        <v>8119457812199</v>
      </c>
      <c r="G1718" s="75" t="str">
        <f>"১৩০৩০৬১৮০৯৩৪"</f>
        <v>১৩০৩০৬১৮০৯৩৪</v>
      </c>
      <c r="H1718" s="75" t="s">
        <v>321</v>
      </c>
      <c r="I1718" s="75" t="s">
        <v>321</v>
      </c>
      <c r="J1718" s="4"/>
    </row>
    <row r="1719" spans="1:10" x14ac:dyDescent="0.25">
      <c r="A1719" s="39">
        <v>1718</v>
      </c>
      <c r="B1719" s="3" t="s">
        <v>626</v>
      </c>
      <c r="C1719" s="75" t="s">
        <v>627</v>
      </c>
      <c r="D1719" s="75" t="s">
        <v>453</v>
      </c>
      <c r="E1719" s="75" t="str">
        <f t="shared" si="33"/>
        <v>০</v>
      </c>
      <c r="F1719" s="22" t="str">
        <f>"8119457812190"</f>
        <v>8119457812190</v>
      </c>
      <c r="G1719" s="75" t="str">
        <f>"১৩০৩০৬১৮০৯৩৩"</f>
        <v>১৩০৩০৬১৮০৯৩৩</v>
      </c>
      <c r="H1719" s="75" t="s">
        <v>346</v>
      </c>
      <c r="I1719" s="75" t="s">
        <v>346</v>
      </c>
      <c r="J1719" s="4"/>
    </row>
    <row r="1720" spans="1:10" x14ac:dyDescent="0.25">
      <c r="A1720" s="39">
        <v>1719</v>
      </c>
      <c r="B1720" s="3" t="s">
        <v>447</v>
      </c>
      <c r="C1720" s="75" t="s">
        <v>423</v>
      </c>
      <c r="D1720" s="75" t="s">
        <v>453</v>
      </c>
      <c r="E1720" s="75" t="str">
        <f t="shared" si="33"/>
        <v>০</v>
      </c>
      <c r="F1720" s="22" t="str">
        <f>"8119457812251"</f>
        <v>8119457812251</v>
      </c>
      <c r="G1720" s="75" t="str">
        <f>"১৩০৩০৬১৮০৯৩২"</f>
        <v>১৩০৩০৬১৮০৯৩২</v>
      </c>
      <c r="H1720" s="75" t="s">
        <v>392</v>
      </c>
      <c r="I1720" s="75" t="s">
        <v>392</v>
      </c>
      <c r="J1720" s="4"/>
    </row>
    <row r="1721" spans="1:10" x14ac:dyDescent="0.25">
      <c r="A1721" s="39">
        <v>1720</v>
      </c>
      <c r="B1721" s="3" t="s">
        <v>2977</v>
      </c>
      <c r="C1721" s="75" t="s">
        <v>2978</v>
      </c>
      <c r="D1721" s="75" t="s">
        <v>453</v>
      </c>
      <c r="E1721" s="75" t="str">
        <f t="shared" si="33"/>
        <v>০</v>
      </c>
      <c r="F1721" s="22" t="str">
        <f>"8119457812336"</f>
        <v>8119457812336</v>
      </c>
      <c r="G1721" s="75" t="str">
        <f>"১৩০৩০৬১৮০৯৩১"</f>
        <v>১৩০৩০৬১৮০৯৩১</v>
      </c>
      <c r="H1721" s="75" t="s">
        <v>371</v>
      </c>
      <c r="I1721" s="75" t="s">
        <v>371</v>
      </c>
      <c r="J1721" s="4"/>
    </row>
    <row r="1722" spans="1:10" x14ac:dyDescent="0.25">
      <c r="A1722" s="39">
        <v>1721</v>
      </c>
      <c r="B1722" s="3" t="s">
        <v>628</v>
      </c>
      <c r="C1722" s="75" t="s">
        <v>629</v>
      </c>
      <c r="D1722" s="75" t="s">
        <v>453</v>
      </c>
      <c r="E1722" s="75" t="str">
        <f t="shared" si="33"/>
        <v>০</v>
      </c>
      <c r="F1722" s="22" t="str">
        <f>"8119457812141"</f>
        <v>8119457812141</v>
      </c>
      <c r="G1722" s="75" t="str">
        <f>"১৩০৩০৬১৮০৯৩০"</f>
        <v>১৩০৩০৬১৮০৯৩০</v>
      </c>
      <c r="H1722" s="75" t="s">
        <v>322</v>
      </c>
      <c r="I1722" s="75" t="s">
        <v>322</v>
      </c>
      <c r="J1722" s="4"/>
    </row>
    <row r="1723" spans="1:10" x14ac:dyDescent="0.25">
      <c r="A1723" s="39">
        <v>1722</v>
      </c>
      <c r="B1723" s="3" t="s">
        <v>630</v>
      </c>
      <c r="C1723" s="75" t="s">
        <v>631</v>
      </c>
      <c r="D1723" s="75" t="s">
        <v>453</v>
      </c>
      <c r="E1723" s="75" t="str">
        <f t="shared" si="33"/>
        <v>০</v>
      </c>
      <c r="F1723" s="22" t="str">
        <f>"8119457812108"</f>
        <v>8119457812108</v>
      </c>
      <c r="G1723" s="75" t="str">
        <f>"১৩০৩০৬১৮০৯২৯"</f>
        <v>১৩০৩০৬১৮০৯২৯</v>
      </c>
      <c r="H1723" s="75" t="s">
        <v>319</v>
      </c>
      <c r="I1723" s="75" t="s">
        <v>319</v>
      </c>
      <c r="J1723" s="4"/>
    </row>
    <row r="1724" spans="1:10" x14ac:dyDescent="0.25">
      <c r="A1724" s="39">
        <v>1723</v>
      </c>
      <c r="B1724" s="3" t="s">
        <v>463</v>
      </c>
      <c r="C1724" s="75" t="s">
        <v>462</v>
      </c>
      <c r="D1724" s="75" t="s">
        <v>453</v>
      </c>
      <c r="E1724" s="75" t="str">
        <f t="shared" si="33"/>
        <v>০</v>
      </c>
      <c r="F1724" s="22" t="str">
        <f>"8119457812218"</f>
        <v>8119457812218</v>
      </c>
      <c r="G1724" s="75" t="str">
        <f>"১৩০৩০৬১৮০৯২৮"</f>
        <v>১৩০৩০৬১৮০৯২৮</v>
      </c>
      <c r="H1724" s="75" t="s">
        <v>322</v>
      </c>
      <c r="I1724" s="75" t="s">
        <v>322</v>
      </c>
      <c r="J1724" s="4"/>
    </row>
    <row r="1725" spans="1:10" x14ac:dyDescent="0.25">
      <c r="A1725" s="39">
        <v>1724</v>
      </c>
      <c r="B1725" s="3" t="s">
        <v>632</v>
      </c>
      <c r="C1725" s="75" t="s">
        <v>462</v>
      </c>
      <c r="D1725" s="75" t="s">
        <v>453</v>
      </c>
      <c r="E1725" s="75" t="str">
        <f t="shared" si="33"/>
        <v>০</v>
      </c>
      <c r="F1725" s="22" t="str">
        <f>"8119457812214"</f>
        <v>8119457812214</v>
      </c>
      <c r="G1725" s="75" t="str">
        <f>"১৩০৩০৬১৮০৯২৭"</f>
        <v>১৩০৩০৬১৮০৯২৭</v>
      </c>
      <c r="H1725" s="75" t="s">
        <v>357</v>
      </c>
      <c r="I1725" s="75" t="s">
        <v>357</v>
      </c>
      <c r="J1725" s="4"/>
    </row>
    <row r="1726" spans="1:10" x14ac:dyDescent="0.25">
      <c r="A1726" s="39">
        <v>1725</v>
      </c>
      <c r="B1726" s="3" t="s">
        <v>633</v>
      </c>
      <c r="C1726" s="75" t="s">
        <v>2292</v>
      </c>
      <c r="D1726" s="75" t="s">
        <v>453</v>
      </c>
      <c r="E1726" s="75" t="str">
        <f t="shared" si="33"/>
        <v>০</v>
      </c>
      <c r="F1726" s="22" t="str">
        <f>"8119457812247"</f>
        <v>8119457812247</v>
      </c>
      <c r="G1726" s="75" t="str">
        <f>"১৩০৩০৬১৮০৯২৬"</f>
        <v>১৩০৩০৬১৮০৯২৬</v>
      </c>
      <c r="H1726" s="75" t="s">
        <v>392</v>
      </c>
      <c r="I1726" s="75" t="s">
        <v>392</v>
      </c>
      <c r="J1726" s="4"/>
    </row>
    <row r="1727" spans="1:10" x14ac:dyDescent="0.25">
      <c r="A1727" s="39">
        <v>1726</v>
      </c>
      <c r="B1727" s="3" t="s">
        <v>634</v>
      </c>
      <c r="C1727" s="75" t="s">
        <v>635</v>
      </c>
      <c r="D1727" s="75" t="s">
        <v>453</v>
      </c>
      <c r="E1727" s="75" t="str">
        <f t="shared" si="33"/>
        <v>০</v>
      </c>
      <c r="F1727" s="22" t="str">
        <f>"8119457812099"</f>
        <v>8119457812099</v>
      </c>
      <c r="G1727" s="75" t="str">
        <f>"১৩০৩০৬১৮০৯২৫"</f>
        <v>১৩০৩০৬১৮০৯২৫</v>
      </c>
      <c r="H1727" s="75" t="s">
        <v>371</v>
      </c>
      <c r="I1727" s="75" t="s">
        <v>371</v>
      </c>
      <c r="J1727" s="4"/>
    </row>
    <row r="1728" spans="1:10" x14ac:dyDescent="0.25">
      <c r="A1728" s="39">
        <v>1727</v>
      </c>
      <c r="B1728" s="3" t="s">
        <v>636</v>
      </c>
      <c r="C1728" s="75" t="s">
        <v>637</v>
      </c>
      <c r="D1728" s="75" t="s">
        <v>453</v>
      </c>
      <c r="E1728" s="75" t="str">
        <f t="shared" si="33"/>
        <v>০</v>
      </c>
      <c r="F1728" s="22" t="str">
        <f>"8119457812069"</f>
        <v>8119457812069</v>
      </c>
      <c r="G1728" s="75" t="str">
        <f>"১৩০৩০৬১৮০৯২৪"</f>
        <v>১৩০৩০৬১৮০৯২৪</v>
      </c>
      <c r="H1728" s="75" t="s">
        <v>318</v>
      </c>
      <c r="I1728" s="75" t="s">
        <v>318</v>
      </c>
      <c r="J1728" s="4"/>
    </row>
    <row r="1729" spans="1:10" x14ac:dyDescent="0.25">
      <c r="A1729" s="39">
        <v>1728</v>
      </c>
      <c r="B1729" s="3" t="s">
        <v>638</v>
      </c>
      <c r="C1729" s="75" t="s">
        <v>637</v>
      </c>
      <c r="D1729" s="75" t="s">
        <v>453</v>
      </c>
      <c r="E1729" s="75" t="str">
        <f t="shared" si="33"/>
        <v>০</v>
      </c>
      <c r="F1729" s="22" t="str">
        <f>"8119457812072"</f>
        <v>8119457812072</v>
      </c>
      <c r="G1729" s="75" t="str">
        <f>"১৩০৩০৬১৮০৯২৩"</f>
        <v>১৩০৩০৬১৮০৯২৩</v>
      </c>
      <c r="H1729" s="75" t="s">
        <v>392</v>
      </c>
      <c r="I1729" s="75" t="s">
        <v>392</v>
      </c>
      <c r="J1729" s="4"/>
    </row>
    <row r="1730" spans="1:10" x14ac:dyDescent="0.25">
      <c r="A1730" s="39">
        <v>1729</v>
      </c>
      <c r="B1730" s="3" t="s">
        <v>81</v>
      </c>
      <c r="C1730" s="75" t="s">
        <v>639</v>
      </c>
      <c r="D1730" s="75" t="s">
        <v>453</v>
      </c>
      <c r="E1730" s="75" t="str">
        <f t="shared" si="33"/>
        <v>০</v>
      </c>
      <c r="F1730" s="22" t="str">
        <f>"8119457812285"</f>
        <v>8119457812285</v>
      </c>
      <c r="G1730" s="75" t="str">
        <f>"১৩০৩০৬১৮০৯২২"</f>
        <v>১৩০৩০৬১৮০৯২২</v>
      </c>
      <c r="H1730" s="75" t="s">
        <v>385</v>
      </c>
      <c r="I1730" s="75" t="s">
        <v>385</v>
      </c>
      <c r="J1730" s="4"/>
    </row>
    <row r="1731" spans="1:10" x14ac:dyDescent="0.25">
      <c r="A1731" s="39">
        <v>1730</v>
      </c>
      <c r="B1731" s="3" t="s">
        <v>640</v>
      </c>
      <c r="C1731" s="75" t="s">
        <v>641</v>
      </c>
      <c r="D1731" s="75" t="s">
        <v>453</v>
      </c>
      <c r="E1731" s="75" t="str">
        <f t="shared" si="33"/>
        <v>০</v>
      </c>
      <c r="F1731" s="22" t="str">
        <f>"8119457812119"</f>
        <v>8119457812119</v>
      </c>
      <c r="G1731" s="75" t="str">
        <f>"১৩০৩০৬১৮০৯২১"</f>
        <v>১৩০৩০৬১৮০৯২১</v>
      </c>
      <c r="H1731" s="75" t="s">
        <v>323</v>
      </c>
      <c r="I1731" s="75" t="s">
        <v>323</v>
      </c>
      <c r="J1731" s="4"/>
    </row>
    <row r="1732" spans="1:10" x14ac:dyDescent="0.25">
      <c r="A1732" s="39">
        <v>1731</v>
      </c>
      <c r="B1732" s="3" t="s">
        <v>642</v>
      </c>
      <c r="C1732" s="75" t="s">
        <v>643</v>
      </c>
      <c r="D1732" s="75" t="s">
        <v>453</v>
      </c>
      <c r="E1732" s="75" t="str">
        <f t="shared" si="33"/>
        <v>০</v>
      </c>
      <c r="F1732" s="22" t="str">
        <f>"8119457812076"</f>
        <v>8119457812076</v>
      </c>
      <c r="G1732" s="75" t="str">
        <f>"১৩০৩০৬১৮০৯২০"</f>
        <v>১৩০৩০৬১৮০৯২০</v>
      </c>
      <c r="H1732" s="75" t="s">
        <v>456</v>
      </c>
      <c r="I1732" s="75" t="s">
        <v>456</v>
      </c>
      <c r="J1732" s="4"/>
    </row>
    <row r="1733" spans="1:10" x14ac:dyDescent="0.25">
      <c r="A1733" s="39">
        <v>1732</v>
      </c>
      <c r="B1733" s="3" t="s">
        <v>644</v>
      </c>
      <c r="C1733" s="75" t="s">
        <v>645</v>
      </c>
      <c r="D1733" s="75" t="s">
        <v>453</v>
      </c>
      <c r="E1733" s="75" t="str">
        <f t="shared" si="33"/>
        <v>০</v>
      </c>
      <c r="F1733" s="22" t="str">
        <f>"8119457000001"</f>
        <v>8119457000001</v>
      </c>
      <c r="G1733" s="75" t="str">
        <f>"১৩০৩০৬১৮০৯১৯"</f>
        <v>১৩০৩০৬১৮০৯১৯</v>
      </c>
      <c r="H1733" s="75" t="s">
        <v>371</v>
      </c>
      <c r="I1733" s="75" t="s">
        <v>371</v>
      </c>
      <c r="J1733" s="4"/>
    </row>
    <row r="1734" spans="1:10" x14ac:dyDescent="0.25">
      <c r="A1734" s="39">
        <v>1733</v>
      </c>
      <c r="B1734" s="3" t="s">
        <v>52</v>
      </c>
      <c r="C1734" s="75" t="s">
        <v>646</v>
      </c>
      <c r="D1734" s="75" t="s">
        <v>453</v>
      </c>
      <c r="E1734" s="75" t="str">
        <f t="shared" si="33"/>
        <v>০</v>
      </c>
      <c r="F1734" s="22" t="str">
        <f>"8119457812245"</f>
        <v>8119457812245</v>
      </c>
      <c r="G1734" s="75" t="str">
        <f>"১৩০৩০৬১৮০৯১৮"</f>
        <v>১৩০৩০৬১৮০৯১৮</v>
      </c>
      <c r="H1734" s="75" t="s">
        <v>371</v>
      </c>
      <c r="I1734" s="75" t="s">
        <v>371</v>
      </c>
      <c r="J1734" s="4"/>
    </row>
    <row r="1735" spans="1:10" x14ac:dyDescent="0.25">
      <c r="A1735" s="39">
        <v>1734</v>
      </c>
      <c r="B1735" s="3" t="s">
        <v>647</v>
      </c>
      <c r="C1735" s="75" t="s">
        <v>648</v>
      </c>
      <c r="D1735" s="75" t="s">
        <v>453</v>
      </c>
      <c r="E1735" s="75" t="str">
        <f t="shared" si="33"/>
        <v>০</v>
      </c>
      <c r="F1735" s="22" t="str">
        <f>"8119457812051"</f>
        <v>8119457812051</v>
      </c>
      <c r="G1735" s="75" t="str">
        <f>"১৩০৩০৬১৮০৯১৭"</f>
        <v>১৩০৩০৬১৮০৯১৭</v>
      </c>
      <c r="H1735" s="75" t="s">
        <v>460</v>
      </c>
      <c r="I1735" s="75" t="s">
        <v>460</v>
      </c>
      <c r="J1735" s="4"/>
    </row>
    <row r="1736" spans="1:10" x14ac:dyDescent="0.25">
      <c r="A1736" s="39">
        <v>1735</v>
      </c>
      <c r="B1736" s="3" t="s">
        <v>2949</v>
      </c>
      <c r="C1736" s="75" t="s">
        <v>605</v>
      </c>
      <c r="D1736" s="75" t="s">
        <v>453</v>
      </c>
      <c r="E1736" s="75" t="str">
        <f t="shared" si="33"/>
        <v>০</v>
      </c>
      <c r="F1736" s="22" t="str">
        <f>"8119457812327"</f>
        <v>8119457812327</v>
      </c>
      <c r="G1736" s="75" t="str">
        <f>"১৩০৩০৬১৮০৯১৬"</f>
        <v>১৩০৩০৬১৮০৯১৬</v>
      </c>
      <c r="H1736" s="75" t="s">
        <v>329</v>
      </c>
      <c r="I1736" s="75" t="s">
        <v>329</v>
      </c>
      <c r="J1736" s="4"/>
    </row>
    <row r="1737" spans="1:10" x14ac:dyDescent="0.25">
      <c r="A1737" s="39">
        <v>1736</v>
      </c>
      <c r="B1737" s="3" t="s">
        <v>649</v>
      </c>
      <c r="C1737" s="75" t="s">
        <v>650</v>
      </c>
      <c r="D1737" s="75" t="s">
        <v>453</v>
      </c>
      <c r="E1737" s="75" t="str">
        <f t="shared" si="33"/>
        <v>০</v>
      </c>
      <c r="F1737" s="22" t="str">
        <f>"8119457812082"</f>
        <v>8119457812082</v>
      </c>
      <c r="G1737" s="75" t="str">
        <f>"১৩০৩০৬১৮০৯১৫"</f>
        <v>১৩০৩০৬১৮০৯১৫</v>
      </c>
      <c r="H1737" s="75" t="s">
        <v>319</v>
      </c>
      <c r="I1737" s="75" t="s">
        <v>319</v>
      </c>
      <c r="J1737" s="4"/>
    </row>
    <row r="1738" spans="1:10" x14ac:dyDescent="0.25">
      <c r="A1738" s="39">
        <v>1737</v>
      </c>
      <c r="B1738" s="3" t="s">
        <v>651</v>
      </c>
      <c r="C1738" s="75" t="s">
        <v>652</v>
      </c>
      <c r="D1738" s="75" t="s">
        <v>453</v>
      </c>
      <c r="E1738" s="75" t="str">
        <f t="shared" si="33"/>
        <v>০</v>
      </c>
      <c r="F1738" s="22" t="str">
        <f>"8119457812094"</f>
        <v>8119457812094</v>
      </c>
      <c r="G1738" s="75" t="str">
        <f>"১৩০৩০৬১৮০৯১৪"</f>
        <v>১৩০৩০৬১৮০৯১৪</v>
      </c>
      <c r="H1738" s="75" t="s">
        <v>322</v>
      </c>
      <c r="I1738" s="75" t="s">
        <v>322</v>
      </c>
      <c r="J1738" s="4"/>
    </row>
    <row r="1739" spans="1:10" x14ac:dyDescent="0.25">
      <c r="A1739" s="39">
        <v>1738</v>
      </c>
      <c r="B1739" s="3" t="s">
        <v>653</v>
      </c>
      <c r="C1739" s="75" t="s">
        <v>569</v>
      </c>
      <c r="D1739" s="75" t="s">
        <v>453</v>
      </c>
      <c r="E1739" s="75" t="str">
        <f t="shared" si="33"/>
        <v>০</v>
      </c>
      <c r="F1739" s="22" t="str">
        <f>"8119457812179"</f>
        <v>8119457812179</v>
      </c>
      <c r="G1739" s="75" t="str">
        <f>"১৩০৩০৬১৮০৯১৩"</f>
        <v>১৩০৩০৬১৮০৯১৩</v>
      </c>
      <c r="H1739" s="75" t="s">
        <v>323</v>
      </c>
      <c r="I1739" s="75" t="s">
        <v>323</v>
      </c>
      <c r="J1739" s="4"/>
    </row>
    <row r="1740" spans="1:10" x14ac:dyDescent="0.25">
      <c r="A1740" s="39">
        <v>1739</v>
      </c>
      <c r="B1740" s="3" t="s">
        <v>654</v>
      </c>
      <c r="C1740" s="75" t="s">
        <v>537</v>
      </c>
      <c r="D1740" s="75" t="s">
        <v>453</v>
      </c>
      <c r="E1740" s="75" t="str">
        <f t="shared" si="33"/>
        <v>০</v>
      </c>
      <c r="F1740" s="22" t="str">
        <f>"8119457812332"</f>
        <v>8119457812332</v>
      </c>
      <c r="G1740" s="75" t="str">
        <f>"১৩০৩০৬১৮০৯১২"</f>
        <v>১৩০৩০৬১৮০৯১২</v>
      </c>
      <c r="H1740" s="75" t="s">
        <v>467</v>
      </c>
      <c r="I1740" s="75" t="s">
        <v>467</v>
      </c>
      <c r="J1740" s="4"/>
    </row>
    <row r="1741" spans="1:10" x14ac:dyDescent="0.25">
      <c r="A1741" s="39">
        <v>1740</v>
      </c>
      <c r="B1741" s="3" t="s">
        <v>511</v>
      </c>
      <c r="C1741" s="75" t="s">
        <v>2979</v>
      </c>
      <c r="D1741" s="75" t="s">
        <v>453</v>
      </c>
      <c r="E1741" s="75" t="str">
        <f t="shared" si="33"/>
        <v>০</v>
      </c>
      <c r="F1741" s="22" t="str">
        <f>"8119457812372"</f>
        <v>8119457812372</v>
      </c>
      <c r="G1741" s="75" t="str">
        <f>"১৩০৩০৬১৮০৯১১"</f>
        <v>১৩০৩০৬১৮০৯১১</v>
      </c>
      <c r="H1741" s="75" t="s">
        <v>392</v>
      </c>
      <c r="I1741" s="75" t="s">
        <v>392</v>
      </c>
      <c r="J1741" s="4"/>
    </row>
    <row r="1742" spans="1:10" x14ac:dyDescent="0.25">
      <c r="A1742" s="39">
        <v>1741</v>
      </c>
      <c r="B1742" s="3" t="s">
        <v>655</v>
      </c>
      <c r="C1742" s="75" t="s">
        <v>656</v>
      </c>
      <c r="D1742" s="75" t="s">
        <v>453</v>
      </c>
      <c r="E1742" s="75" t="str">
        <f t="shared" si="33"/>
        <v>০</v>
      </c>
      <c r="F1742" s="22" t="str">
        <f>"8119457812085"</f>
        <v>8119457812085</v>
      </c>
      <c r="G1742" s="75" t="str">
        <f>"১৩০৩০৬১৮০৯১০"</f>
        <v>১৩০৩০৬১৮০৯১০</v>
      </c>
      <c r="H1742" s="75" t="s">
        <v>472</v>
      </c>
      <c r="I1742" s="75" t="s">
        <v>472</v>
      </c>
      <c r="J1742" s="4"/>
    </row>
    <row r="1743" spans="1:10" x14ac:dyDescent="0.25">
      <c r="A1743" s="39">
        <v>1742</v>
      </c>
      <c r="B1743" s="3" t="s">
        <v>657</v>
      </c>
      <c r="C1743" s="75" t="s">
        <v>658</v>
      </c>
      <c r="D1743" s="75" t="s">
        <v>453</v>
      </c>
      <c r="E1743" s="75" t="str">
        <f t="shared" si="33"/>
        <v>০</v>
      </c>
      <c r="F1743" s="22" t="str">
        <f>"8119457812091"</f>
        <v>8119457812091</v>
      </c>
      <c r="G1743" s="75" t="str">
        <f>"১৩০৩০৬১৮০৯০৯"</f>
        <v>১৩০৩০৬১৮০৯০৯</v>
      </c>
      <c r="H1743" s="75" t="s">
        <v>321</v>
      </c>
      <c r="I1743" s="75" t="s">
        <v>321</v>
      </c>
      <c r="J1743" s="4"/>
    </row>
    <row r="1744" spans="1:10" x14ac:dyDescent="0.25">
      <c r="A1744" s="39">
        <v>1743</v>
      </c>
      <c r="B1744" s="3" t="s">
        <v>659</v>
      </c>
      <c r="C1744" s="75" t="s">
        <v>569</v>
      </c>
      <c r="D1744" s="75" t="s">
        <v>453</v>
      </c>
      <c r="E1744" s="75" t="str">
        <f t="shared" si="33"/>
        <v>০</v>
      </c>
      <c r="F1744" s="22" t="str">
        <f>"8119457812177"</f>
        <v>8119457812177</v>
      </c>
      <c r="G1744" s="75" t="str">
        <f>"১৩০৩০৬১৮০৯০৮"</f>
        <v>১৩০৩০৬১৮০৯০৮</v>
      </c>
      <c r="H1744" s="75" t="s">
        <v>460</v>
      </c>
      <c r="I1744" s="75" t="s">
        <v>460</v>
      </c>
      <c r="J1744" s="4"/>
    </row>
    <row r="1745" spans="1:10" x14ac:dyDescent="0.25">
      <c r="A1745" s="39">
        <v>1744</v>
      </c>
      <c r="B1745" s="3" t="s">
        <v>660</v>
      </c>
      <c r="C1745" s="75" t="s">
        <v>451</v>
      </c>
      <c r="D1745" s="75" t="s">
        <v>453</v>
      </c>
      <c r="E1745" s="75" t="str">
        <f t="shared" si="33"/>
        <v>০</v>
      </c>
      <c r="F1745" s="22" t="str">
        <f>"8119457812090"</f>
        <v>8119457812090</v>
      </c>
      <c r="G1745" s="75" t="str">
        <f>"১৩০৩০৬১৮০৯০৭"</f>
        <v>১৩০৩০৬১৮০৯০৭</v>
      </c>
      <c r="H1745" s="75" t="s">
        <v>322</v>
      </c>
      <c r="I1745" s="75" t="s">
        <v>322</v>
      </c>
      <c r="J1745" s="4"/>
    </row>
    <row r="1746" spans="1:10" x14ac:dyDescent="0.25">
      <c r="A1746" s="39">
        <v>1745</v>
      </c>
      <c r="B1746" s="3" t="s">
        <v>87</v>
      </c>
      <c r="C1746" s="75" t="s">
        <v>661</v>
      </c>
      <c r="D1746" s="75" t="s">
        <v>453</v>
      </c>
      <c r="E1746" s="75" t="str">
        <f t="shared" si="33"/>
        <v>০</v>
      </c>
      <c r="F1746" s="22" t="str">
        <f>"8119457812453"</f>
        <v>8119457812453</v>
      </c>
      <c r="G1746" s="75" t="str">
        <f>"১৩০৩০৬১৮০৯০৬"</f>
        <v>১৩০৩০৬১৮০৯০৬</v>
      </c>
      <c r="H1746" s="75" t="s">
        <v>460</v>
      </c>
      <c r="I1746" s="75" t="s">
        <v>460</v>
      </c>
      <c r="J1746" s="4"/>
    </row>
    <row r="1747" spans="1:10" x14ac:dyDescent="0.25">
      <c r="A1747" s="39">
        <v>1746</v>
      </c>
      <c r="B1747" s="3" t="s">
        <v>662</v>
      </c>
      <c r="C1747" s="75" t="s">
        <v>663</v>
      </c>
      <c r="D1747" s="75" t="s">
        <v>453</v>
      </c>
      <c r="E1747" s="75" t="str">
        <f t="shared" si="33"/>
        <v>০</v>
      </c>
      <c r="F1747" s="22" t="str">
        <f>"8119457812170"</f>
        <v>8119457812170</v>
      </c>
      <c r="G1747" s="75" t="str">
        <f>"১৩০৩০৬১৮০৯০৫"</f>
        <v>১৩০৩০৬১৮০৯০৫</v>
      </c>
      <c r="H1747" s="75" t="s">
        <v>319</v>
      </c>
      <c r="I1747" s="75" t="s">
        <v>319</v>
      </c>
      <c r="J1747" s="4"/>
    </row>
    <row r="1748" spans="1:10" x14ac:dyDescent="0.25">
      <c r="A1748" s="39">
        <v>1747</v>
      </c>
      <c r="B1748" s="3" t="s">
        <v>2980</v>
      </c>
      <c r="C1748" s="75" t="s">
        <v>664</v>
      </c>
      <c r="D1748" s="75" t="s">
        <v>453</v>
      </c>
      <c r="E1748" s="75" t="str">
        <f t="shared" si="33"/>
        <v>০</v>
      </c>
      <c r="F1748" s="22" t="str">
        <f>"8119457812240"</f>
        <v>8119457812240</v>
      </c>
      <c r="G1748" s="75" t="str">
        <f>"১৩০৩০৬১৮০৯০৪"</f>
        <v>১৩০৩০৬১৮০৯০৪</v>
      </c>
      <c r="H1748" s="75" t="s">
        <v>371</v>
      </c>
      <c r="I1748" s="75" t="s">
        <v>371</v>
      </c>
      <c r="J1748" s="4"/>
    </row>
    <row r="1749" spans="1:10" x14ac:dyDescent="0.25">
      <c r="A1749" s="39">
        <v>1748</v>
      </c>
      <c r="B1749" s="3" t="s">
        <v>665</v>
      </c>
      <c r="C1749" s="75" t="s">
        <v>666</v>
      </c>
      <c r="D1749" s="75" t="s">
        <v>453</v>
      </c>
      <c r="E1749" s="75" t="str">
        <f t="shared" si="33"/>
        <v>০</v>
      </c>
      <c r="F1749" s="22" t="str">
        <f>"8119457812360"</f>
        <v>8119457812360</v>
      </c>
      <c r="G1749" s="75" t="str">
        <f>"১৩০৩০৬১৮০৯০৩"</f>
        <v>১৩০৩০৬১৮০৯০৩</v>
      </c>
      <c r="H1749" s="75" t="s">
        <v>357</v>
      </c>
      <c r="I1749" s="75" t="s">
        <v>357</v>
      </c>
      <c r="J1749" s="4"/>
    </row>
    <row r="1750" spans="1:10" x14ac:dyDescent="0.25">
      <c r="A1750" s="39">
        <v>1749</v>
      </c>
      <c r="B1750" s="3" t="s">
        <v>2981</v>
      </c>
      <c r="C1750" s="75" t="s">
        <v>667</v>
      </c>
      <c r="D1750" s="75" t="s">
        <v>453</v>
      </c>
      <c r="E1750" s="75" t="str">
        <f t="shared" si="33"/>
        <v>০</v>
      </c>
      <c r="F1750" s="22" t="str">
        <f>"8119457812236"</f>
        <v>8119457812236</v>
      </c>
      <c r="G1750" s="75" t="str">
        <f>"১৩০৩০৬১৮০৯০২"</f>
        <v>১৩০৩০৬১৮০৯০২</v>
      </c>
      <c r="H1750" s="75" t="s">
        <v>486</v>
      </c>
      <c r="I1750" s="75" t="s">
        <v>486</v>
      </c>
      <c r="J1750" s="4"/>
    </row>
    <row r="1751" spans="1:10" x14ac:dyDescent="0.25">
      <c r="A1751" s="39">
        <v>1750</v>
      </c>
      <c r="B1751" s="3" t="s">
        <v>664</v>
      </c>
      <c r="C1751" s="75" t="s">
        <v>668</v>
      </c>
      <c r="D1751" s="75" t="s">
        <v>453</v>
      </c>
      <c r="E1751" s="75" t="str">
        <f t="shared" si="33"/>
        <v>০</v>
      </c>
      <c r="F1751" s="22" t="str">
        <f>"8119457812239"</f>
        <v>8119457812239</v>
      </c>
      <c r="G1751" s="75" t="str">
        <f>"১৩০৩০৬১৮০৯০১"</f>
        <v>১৩০৩০৬১৮০৯০১</v>
      </c>
      <c r="H1751" s="75" t="s">
        <v>371</v>
      </c>
      <c r="I1751" s="75" t="s">
        <v>371</v>
      </c>
      <c r="J1751" s="4"/>
    </row>
    <row r="1752" spans="1:10" x14ac:dyDescent="0.25">
      <c r="A1752" s="39">
        <v>1751</v>
      </c>
      <c r="B1752" s="3" t="s">
        <v>2255</v>
      </c>
      <c r="C1752" s="75" t="s">
        <v>669</v>
      </c>
      <c r="D1752" s="75" t="s">
        <v>453</v>
      </c>
      <c r="E1752" s="75" t="str">
        <f t="shared" si="33"/>
        <v>০</v>
      </c>
      <c r="F1752" s="22" t="str">
        <f>"8119457812323"</f>
        <v>8119457812323</v>
      </c>
      <c r="G1752" s="75" t="str">
        <f>"১৩০৩০৬১৮০৯০০"</f>
        <v>১৩০৩০৬১৮০৯০০</v>
      </c>
      <c r="H1752" s="75" t="s">
        <v>371</v>
      </c>
      <c r="I1752" s="75" t="s">
        <v>371</v>
      </c>
      <c r="J1752" s="4"/>
    </row>
    <row r="1753" spans="1:10" x14ac:dyDescent="0.25">
      <c r="A1753" s="39">
        <v>1752</v>
      </c>
      <c r="B1753" s="3" t="s">
        <v>670</v>
      </c>
      <c r="C1753" s="75" t="s">
        <v>671</v>
      </c>
      <c r="D1753" s="75" t="s">
        <v>427</v>
      </c>
      <c r="E1753" s="75" t="str">
        <f t="shared" si="33"/>
        <v>০</v>
      </c>
      <c r="F1753" s="22" t="str">
        <f>"8119457700002"</f>
        <v>8119457700002</v>
      </c>
      <c r="G1753" s="75" t="str">
        <f>"১৩০৩০৬১৮১৩৯৪"</f>
        <v>১৩০৩০৬১৮১৩৯৪</v>
      </c>
      <c r="H1753" s="75" t="s">
        <v>385</v>
      </c>
      <c r="I1753" s="75" t="s">
        <v>385</v>
      </c>
      <c r="J1753" s="4"/>
    </row>
    <row r="1754" spans="1:10" x14ac:dyDescent="0.25">
      <c r="A1754" s="39">
        <v>1753</v>
      </c>
      <c r="B1754" s="3" t="s">
        <v>672</v>
      </c>
      <c r="C1754" s="75" t="s">
        <v>673</v>
      </c>
      <c r="D1754" s="75" t="s">
        <v>427</v>
      </c>
      <c r="E1754" s="75" t="str">
        <f t="shared" si="33"/>
        <v>০</v>
      </c>
      <c r="F1754" s="22" t="str">
        <f>"8119457"</f>
        <v>8119457</v>
      </c>
      <c r="G1754" s="75" t="str">
        <f>"১৩০৩০৬১৮১৩৯৩"</f>
        <v>১৩০৩০৬১৮১৩৯৩</v>
      </c>
      <c r="H1754" s="75" t="s">
        <v>495</v>
      </c>
      <c r="I1754" s="75" t="s">
        <v>495</v>
      </c>
      <c r="J1754" s="4"/>
    </row>
    <row r="1755" spans="1:10" x14ac:dyDescent="0.25">
      <c r="A1755" s="39">
        <v>1754</v>
      </c>
      <c r="B1755" s="3" t="s">
        <v>674</v>
      </c>
      <c r="C1755" s="75" t="s">
        <v>675</v>
      </c>
      <c r="D1755" s="75" t="s">
        <v>427</v>
      </c>
      <c r="E1755" s="75" t="str">
        <f t="shared" si="33"/>
        <v>০</v>
      </c>
      <c r="F1755" s="22" t="str">
        <f>"8119457"</f>
        <v>8119457</v>
      </c>
      <c r="G1755" s="75" t="str">
        <f>"১৩০৩০৬১৮১৩৯২"</f>
        <v>১৩০৩০৬১৮১৩৯২</v>
      </c>
      <c r="H1755" s="75" t="s">
        <v>322</v>
      </c>
      <c r="I1755" s="75" t="s">
        <v>322</v>
      </c>
      <c r="J1755" s="4"/>
    </row>
    <row r="1756" spans="1:10" x14ac:dyDescent="0.25">
      <c r="A1756" s="39">
        <v>1755</v>
      </c>
      <c r="B1756" s="3" t="s">
        <v>2982</v>
      </c>
      <c r="C1756" s="75" t="s">
        <v>676</v>
      </c>
      <c r="D1756" s="75" t="s">
        <v>427</v>
      </c>
      <c r="E1756" s="75" t="str">
        <f t="shared" si="33"/>
        <v>০</v>
      </c>
      <c r="F1756" s="22" t="str">
        <f>"8119457833680"</f>
        <v>8119457833680</v>
      </c>
      <c r="G1756" s="75" t="str">
        <f>"১৩০৩০৬১৮১৩৯১"</f>
        <v>১৩০৩০৬১৮১৩৯১</v>
      </c>
      <c r="H1756" s="75" t="s">
        <v>346</v>
      </c>
      <c r="I1756" s="75" t="s">
        <v>346</v>
      </c>
      <c r="J1756" s="4"/>
    </row>
    <row r="1757" spans="1:10" x14ac:dyDescent="0.25">
      <c r="A1757" s="39">
        <v>1756</v>
      </c>
      <c r="B1757" s="3" t="s">
        <v>677</v>
      </c>
      <c r="C1757" s="75" t="s">
        <v>678</v>
      </c>
      <c r="D1757" s="75" t="s">
        <v>427</v>
      </c>
      <c r="E1757" s="75" t="str">
        <f t="shared" si="33"/>
        <v>০</v>
      </c>
      <c r="F1757" s="22" t="str">
        <f>"8119457833803"</f>
        <v>8119457833803</v>
      </c>
      <c r="G1757" s="75" t="str">
        <f>"১৩০৩০৬১৮১৩৯০"</f>
        <v>১৩০৩০৬১৮১৩৯০</v>
      </c>
      <c r="H1757" s="75" t="s">
        <v>319</v>
      </c>
      <c r="I1757" s="75" t="s">
        <v>319</v>
      </c>
      <c r="J1757" s="4"/>
    </row>
    <row r="1758" spans="1:10" x14ac:dyDescent="0.25">
      <c r="A1758" s="39">
        <v>1757</v>
      </c>
      <c r="B1758" s="3" t="s">
        <v>679</v>
      </c>
      <c r="C1758" s="75" t="s">
        <v>680</v>
      </c>
      <c r="D1758" s="75" t="s">
        <v>427</v>
      </c>
      <c r="E1758" s="75" t="str">
        <f t="shared" si="33"/>
        <v>০</v>
      </c>
      <c r="F1758" s="22" t="str">
        <f>"8119457833658"</f>
        <v>8119457833658</v>
      </c>
      <c r="G1758" s="75" t="str">
        <f>"১৩০৩০৬১৮১৩৮৯"</f>
        <v>১৩০৩০৬১৮১৩৮৯</v>
      </c>
      <c r="H1758" s="75" t="s">
        <v>323</v>
      </c>
      <c r="I1758" s="75" t="s">
        <v>323</v>
      </c>
      <c r="J1758" s="4"/>
    </row>
    <row r="1759" spans="1:10" x14ac:dyDescent="0.25">
      <c r="A1759" s="39">
        <v>1758</v>
      </c>
      <c r="B1759" s="3" t="s">
        <v>681</v>
      </c>
      <c r="C1759" s="75" t="s">
        <v>682</v>
      </c>
      <c r="D1759" s="75" t="s">
        <v>427</v>
      </c>
      <c r="E1759" s="75" t="str">
        <f t="shared" si="33"/>
        <v>০</v>
      </c>
      <c r="F1759" s="22" t="str">
        <f>"8119457833668"</f>
        <v>8119457833668</v>
      </c>
      <c r="G1759" s="75" t="str">
        <f>"১৩০৩০৬১৮১৩৮৮"</f>
        <v>১৩০৩০৬১৮১৩৮৮</v>
      </c>
      <c r="H1759" s="75" t="s">
        <v>346</v>
      </c>
      <c r="I1759" s="75" t="s">
        <v>346</v>
      </c>
      <c r="J1759" s="4"/>
    </row>
    <row r="1760" spans="1:10" x14ac:dyDescent="0.25">
      <c r="A1760" s="39">
        <v>1759</v>
      </c>
      <c r="B1760" s="3" t="s">
        <v>683</v>
      </c>
      <c r="C1760" s="75" t="s">
        <v>2983</v>
      </c>
      <c r="D1760" s="75" t="s">
        <v>427</v>
      </c>
      <c r="E1760" s="75" t="str">
        <f t="shared" si="33"/>
        <v>০</v>
      </c>
      <c r="F1760" s="22" t="str">
        <f>"8119457"</f>
        <v>8119457</v>
      </c>
      <c r="G1760" s="75" t="str">
        <f>"১৩০৩০৬১৮১৩৮৭"</f>
        <v>১৩০৩০৬১৮১৩৮৭</v>
      </c>
      <c r="H1760" s="75" t="s">
        <v>362</v>
      </c>
      <c r="I1760" s="75" t="s">
        <v>362</v>
      </c>
      <c r="J1760" s="4"/>
    </row>
    <row r="1761" spans="1:10" x14ac:dyDescent="0.25">
      <c r="A1761" s="39">
        <v>1760</v>
      </c>
      <c r="B1761" s="3" t="s">
        <v>648</v>
      </c>
      <c r="C1761" s="75" t="s">
        <v>684</v>
      </c>
      <c r="D1761" s="75" t="s">
        <v>427</v>
      </c>
      <c r="E1761" s="75" t="str">
        <f t="shared" si="33"/>
        <v>০</v>
      </c>
      <c r="F1761" s="22" t="str">
        <f>"8119457833774"</f>
        <v>8119457833774</v>
      </c>
      <c r="G1761" s="75" t="str">
        <f>"১৩০৩০৬১৮১৩৮৬"</f>
        <v>১৩০৩০৬১৮১৩৮৬</v>
      </c>
      <c r="H1761" s="75" t="s">
        <v>322</v>
      </c>
      <c r="I1761" s="75" t="s">
        <v>322</v>
      </c>
      <c r="J1761" s="4"/>
    </row>
    <row r="1762" spans="1:10" x14ac:dyDescent="0.25">
      <c r="A1762" s="39">
        <v>1761</v>
      </c>
      <c r="B1762" s="3" t="s">
        <v>685</v>
      </c>
      <c r="C1762" s="75" t="s">
        <v>678</v>
      </c>
      <c r="D1762" s="75" t="s">
        <v>427</v>
      </c>
      <c r="E1762" s="75" t="str">
        <f t="shared" si="33"/>
        <v>০</v>
      </c>
      <c r="F1762" s="22" t="str">
        <f>"8119457"</f>
        <v>8119457</v>
      </c>
      <c r="G1762" s="75" t="str">
        <f>"১৩০৩০৬১৮১৩৮৫"</f>
        <v>১৩০৩০৬১৮১৩৮৫</v>
      </c>
      <c r="H1762" s="75" t="s">
        <v>346</v>
      </c>
      <c r="I1762" s="75" t="s">
        <v>346</v>
      </c>
      <c r="J1762" s="4"/>
    </row>
    <row r="1763" spans="1:10" x14ac:dyDescent="0.25">
      <c r="A1763" s="39">
        <v>1762</v>
      </c>
      <c r="B1763" s="3" t="s">
        <v>686</v>
      </c>
      <c r="C1763" s="75" t="s">
        <v>687</v>
      </c>
      <c r="D1763" s="75" t="s">
        <v>427</v>
      </c>
      <c r="E1763" s="75" t="str">
        <f t="shared" si="33"/>
        <v>০</v>
      </c>
      <c r="F1763" s="22" t="str">
        <f>"8119457"</f>
        <v>8119457</v>
      </c>
      <c r="G1763" s="75" t="str">
        <f>"১৩০৩০৬১৮১৩৮৪"</f>
        <v>১৩০৩০৬১৮১৩৮৪</v>
      </c>
      <c r="H1763" s="75" t="s">
        <v>362</v>
      </c>
      <c r="I1763" s="75" t="s">
        <v>362</v>
      </c>
      <c r="J1763" s="4"/>
    </row>
    <row r="1764" spans="1:10" x14ac:dyDescent="0.25">
      <c r="A1764" s="39">
        <v>1763</v>
      </c>
      <c r="B1764" s="3" t="s">
        <v>688</v>
      </c>
      <c r="C1764" s="75" t="s">
        <v>689</v>
      </c>
      <c r="D1764" s="75" t="s">
        <v>427</v>
      </c>
      <c r="E1764" s="75" t="str">
        <f t="shared" si="33"/>
        <v>০</v>
      </c>
      <c r="F1764" s="22" t="str">
        <f>"8119457833788"</f>
        <v>8119457833788</v>
      </c>
      <c r="G1764" s="75" t="str">
        <f>"১৩০৩০৬১৮১৩৮৩"</f>
        <v>১৩০৩০৬১৮১৩৮৩</v>
      </c>
      <c r="H1764" s="75" t="s">
        <v>326</v>
      </c>
      <c r="I1764" s="75" t="s">
        <v>326</v>
      </c>
      <c r="J1764" s="4"/>
    </row>
    <row r="1765" spans="1:10" x14ac:dyDescent="0.25">
      <c r="A1765" s="39">
        <v>1764</v>
      </c>
      <c r="B1765" s="3" t="s">
        <v>690</v>
      </c>
      <c r="C1765" s="75" t="s">
        <v>691</v>
      </c>
      <c r="D1765" s="75" t="s">
        <v>427</v>
      </c>
      <c r="E1765" s="75" t="str">
        <f t="shared" si="33"/>
        <v>০</v>
      </c>
      <c r="F1765" s="22" t="str">
        <f>"8119457833559"</f>
        <v>8119457833559</v>
      </c>
      <c r="G1765" s="75" t="str">
        <f>"১৩০৩০৬১৮১৩৮২"</f>
        <v>১৩০৩০৬১৮১৩৮২</v>
      </c>
      <c r="H1765" s="75" t="s">
        <v>322</v>
      </c>
      <c r="I1765" s="75" t="s">
        <v>322</v>
      </c>
      <c r="J1765" s="4"/>
    </row>
    <row r="1766" spans="1:10" x14ac:dyDescent="0.25">
      <c r="A1766" s="39">
        <v>1765</v>
      </c>
      <c r="B1766" s="3" t="s">
        <v>403</v>
      </c>
      <c r="C1766" s="75" t="s">
        <v>426</v>
      </c>
      <c r="D1766" s="75" t="s">
        <v>427</v>
      </c>
      <c r="E1766" s="75" t="str">
        <f t="shared" si="33"/>
        <v>০</v>
      </c>
      <c r="F1766" s="22" t="str">
        <f>"8119457833749"</f>
        <v>8119457833749</v>
      </c>
      <c r="G1766" s="75" t="str">
        <f>"১৩০৩০৬১৮১৩৮১"</f>
        <v>১৩০৩০৬১৮১৩৮১</v>
      </c>
      <c r="H1766" s="75" t="s">
        <v>322</v>
      </c>
      <c r="I1766" s="75" t="s">
        <v>322</v>
      </c>
      <c r="J1766" s="4"/>
    </row>
    <row r="1767" spans="1:10" x14ac:dyDescent="0.25">
      <c r="A1767" s="39">
        <v>1766</v>
      </c>
      <c r="B1767" s="3" t="s">
        <v>682</v>
      </c>
      <c r="C1767" s="75" t="s">
        <v>692</v>
      </c>
      <c r="D1767" s="75" t="s">
        <v>427</v>
      </c>
      <c r="E1767" s="75" t="str">
        <f t="shared" ref="E1767:E1782" si="34">"০"</f>
        <v>০</v>
      </c>
      <c r="F1767" s="22" t="str">
        <f>"8119457833666"</f>
        <v>8119457833666</v>
      </c>
      <c r="G1767" s="75" t="str">
        <f>"১৩০৩০৬১৮১৩৮০"</f>
        <v>১৩০৩০৬১৮১৩৮০</v>
      </c>
      <c r="H1767" s="75" t="s">
        <v>346</v>
      </c>
      <c r="I1767" s="75" t="s">
        <v>346</v>
      </c>
      <c r="J1767" s="4"/>
    </row>
    <row r="1768" spans="1:10" x14ac:dyDescent="0.25">
      <c r="A1768" s="39">
        <v>1767</v>
      </c>
      <c r="B1768" s="3" t="s">
        <v>693</v>
      </c>
      <c r="C1768" s="75" t="s">
        <v>694</v>
      </c>
      <c r="D1768" s="75" t="s">
        <v>695</v>
      </c>
      <c r="E1768" s="75" t="str">
        <f t="shared" si="34"/>
        <v>০</v>
      </c>
      <c r="F1768" s="22" t="str">
        <f>"8119457833818"</f>
        <v>8119457833818</v>
      </c>
      <c r="G1768" s="75" t="str">
        <f>"১৩০৩০৬১৮১৩৬৭"</f>
        <v>১৩০৩০৬১৮১৩৬৭</v>
      </c>
      <c r="H1768" s="75" t="s">
        <v>362</v>
      </c>
      <c r="I1768" s="75" t="s">
        <v>362</v>
      </c>
      <c r="J1768" s="4"/>
    </row>
    <row r="1769" spans="1:10" x14ac:dyDescent="0.25">
      <c r="A1769" s="39">
        <v>1768</v>
      </c>
      <c r="B1769" s="3" t="s">
        <v>696</v>
      </c>
      <c r="C1769" s="75" t="s">
        <v>697</v>
      </c>
      <c r="D1769" s="75" t="s">
        <v>695</v>
      </c>
      <c r="E1769" s="75" t="str">
        <f t="shared" si="34"/>
        <v>০</v>
      </c>
      <c r="F1769" s="22" t="str">
        <f>"8119457810735"</f>
        <v>8119457810735</v>
      </c>
      <c r="G1769" s="75" t="str">
        <f>"১৩০৩০৬১৮১৩৬৬"</f>
        <v>১৩০৩০৬১৮১৩৬৬</v>
      </c>
      <c r="H1769" s="75" t="s">
        <v>349</v>
      </c>
      <c r="I1769" s="75" t="s">
        <v>349</v>
      </c>
      <c r="J1769" s="4"/>
    </row>
    <row r="1770" spans="1:10" x14ac:dyDescent="0.25">
      <c r="A1770" s="39">
        <v>1769</v>
      </c>
      <c r="B1770" s="3" t="s">
        <v>698</v>
      </c>
      <c r="C1770" s="75" t="s">
        <v>699</v>
      </c>
      <c r="D1770" s="75" t="s">
        <v>695</v>
      </c>
      <c r="E1770" s="75" t="str">
        <f t="shared" si="34"/>
        <v>০</v>
      </c>
      <c r="F1770" s="22" t="str">
        <f>"8119457810482"</f>
        <v>8119457810482</v>
      </c>
      <c r="G1770" s="75" t="str">
        <f>"১৩০৩০৬১৮১৩৬৫"</f>
        <v>১৩০৩০৬১৮১৩৬৫</v>
      </c>
      <c r="H1770" s="75" t="s">
        <v>362</v>
      </c>
      <c r="I1770" s="75" t="s">
        <v>362</v>
      </c>
      <c r="J1770" s="4"/>
    </row>
    <row r="1771" spans="1:10" x14ac:dyDescent="0.25">
      <c r="A1771" s="39">
        <v>1770</v>
      </c>
      <c r="B1771" s="3" t="s">
        <v>700</v>
      </c>
      <c r="C1771" s="75" t="s">
        <v>701</v>
      </c>
      <c r="D1771" s="75" t="s">
        <v>695</v>
      </c>
      <c r="E1771" s="75" t="str">
        <f t="shared" si="34"/>
        <v>০</v>
      </c>
      <c r="F1771" s="22" t="str">
        <f>"8119457833856"</f>
        <v>8119457833856</v>
      </c>
      <c r="G1771" s="75" t="str">
        <f>"১৩০৩০৬১৮১৩৬৪"</f>
        <v>১৩০৩০৬১৮১৩৬৪</v>
      </c>
      <c r="H1771" s="75" t="s">
        <v>371</v>
      </c>
      <c r="I1771" s="75" t="s">
        <v>371</v>
      </c>
      <c r="J1771" s="4"/>
    </row>
    <row r="1772" spans="1:10" x14ac:dyDescent="0.25">
      <c r="A1772" s="39">
        <v>1771</v>
      </c>
      <c r="B1772" s="3" t="s">
        <v>702</v>
      </c>
      <c r="C1772" s="75" t="s">
        <v>703</v>
      </c>
      <c r="D1772" s="75" t="s">
        <v>695</v>
      </c>
      <c r="E1772" s="75" t="str">
        <f t="shared" si="34"/>
        <v>০</v>
      </c>
      <c r="F1772" s="22" t="str">
        <f>"8119457833828"</f>
        <v>8119457833828</v>
      </c>
      <c r="G1772" s="75" t="str">
        <f>"১৩০৩০৬১৮১৩৬৩"</f>
        <v>১৩০৩০৬১৮১৩৬৩</v>
      </c>
      <c r="H1772" s="75" t="s">
        <v>322</v>
      </c>
      <c r="I1772" s="75" t="s">
        <v>322</v>
      </c>
      <c r="J1772" s="4"/>
    </row>
    <row r="1773" spans="1:10" x14ac:dyDescent="0.25">
      <c r="A1773" s="39">
        <v>1772</v>
      </c>
      <c r="B1773" s="3" t="s">
        <v>704</v>
      </c>
      <c r="C1773" s="75" t="s">
        <v>563</v>
      </c>
      <c r="D1773" s="75" t="s">
        <v>695</v>
      </c>
      <c r="E1773" s="75" t="str">
        <f t="shared" si="34"/>
        <v>০</v>
      </c>
      <c r="F1773" s="22" t="str">
        <f>"8119457833857"</f>
        <v>8119457833857</v>
      </c>
      <c r="G1773" s="75" t="str">
        <f>"১৩০৩০৬১৮১৩৬২"</f>
        <v>১৩০৩০৬১৮১৩৬২</v>
      </c>
      <c r="H1773" s="75" t="s">
        <v>346</v>
      </c>
      <c r="I1773" s="75" t="s">
        <v>346</v>
      </c>
      <c r="J1773" s="4"/>
    </row>
    <row r="1774" spans="1:10" x14ac:dyDescent="0.25">
      <c r="A1774" s="39">
        <v>1773</v>
      </c>
      <c r="B1774" s="3" t="s">
        <v>1604</v>
      </c>
      <c r="C1774" s="75" t="s">
        <v>705</v>
      </c>
      <c r="D1774" s="75" t="s">
        <v>695</v>
      </c>
      <c r="E1774" s="75" t="str">
        <f t="shared" si="34"/>
        <v>০</v>
      </c>
      <c r="F1774" s="22" t="str">
        <f>"8119457833818"</f>
        <v>8119457833818</v>
      </c>
      <c r="G1774" s="75" t="str">
        <f>"১৩০৩০৬১৮১৩৬১"</f>
        <v>১৩০৩০৬১৮১৩৬১</v>
      </c>
      <c r="H1774" s="75" t="s">
        <v>322</v>
      </c>
      <c r="I1774" s="75" t="s">
        <v>322</v>
      </c>
      <c r="J1774" s="4"/>
    </row>
    <row r="1775" spans="1:10" x14ac:dyDescent="0.25">
      <c r="A1775" s="39">
        <v>1774</v>
      </c>
      <c r="B1775" s="3" t="s">
        <v>2984</v>
      </c>
      <c r="C1775" s="75" t="s">
        <v>2985</v>
      </c>
      <c r="D1775" s="75" t="s">
        <v>695</v>
      </c>
      <c r="E1775" s="75" t="str">
        <f t="shared" si="34"/>
        <v>০</v>
      </c>
      <c r="F1775" s="22" t="str">
        <f>"8119457833882"</f>
        <v>8119457833882</v>
      </c>
      <c r="G1775" s="75" t="str">
        <f>"১৩০৩০৬১৮১৩৬০"</f>
        <v>১৩০৩০৬১৮১৩৬০</v>
      </c>
      <c r="H1775" s="75" t="s">
        <v>322</v>
      </c>
      <c r="I1775" s="75" t="s">
        <v>322</v>
      </c>
      <c r="J1775" s="4"/>
    </row>
    <row r="1776" spans="1:10" x14ac:dyDescent="0.25">
      <c r="A1776" s="39">
        <v>1775</v>
      </c>
      <c r="B1776" s="3" t="s">
        <v>448</v>
      </c>
      <c r="C1776" s="75" t="s">
        <v>2933</v>
      </c>
      <c r="D1776" s="75" t="s">
        <v>695</v>
      </c>
      <c r="E1776" s="75" t="str">
        <f t="shared" si="34"/>
        <v>০</v>
      </c>
      <c r="F1776" s="22" t="str">
        <f>"8119457000023"</f>
        <v>8119457000023</v>
      </c>
      <c r="G1776" s="75" t="str">
        <f>"১৩০৩০৬১৮১৩৫৯"</f>
        <v>১৩০৩০৬১৮১৩৫৯</v>
      </c>
      <c r="H1776" s="75" t="s">
        <v>322</v>
      </c>
      <c r="I1776" s="75" t="s">
        <v>322</v>
      </c>
      <c r="J1776" s="4"/>
    </row>
    <row r="1777" spans="1:10" x14ac:dyDescent="0.25">
      <c r="A1777" s="39">
        <v>1776</v>
      </c>
      <c r="B1777" s="3" t="s">
        <v>687</v>
      </c>
      <c r="C1777" s="75" t="s">
        <v>700</v>
      </c>
      <c r="D1777" s="75" t="s">
        <v>695</v>
      </c>
      <c r="E1777" s="75" t="str">
        <f t="shared" si="34"/>
        <v>০</v>
      </c>
      <c r="F1777" s="22" t="str">
        <f>"8119457833875"</f>
        <v>8119457833875</v>
      </c>
      <c r="G1777" s="75" t="str">
        <f>"১৩০৩০৬১৮১৩৫৮"</f>
        <v>১৩০৩০৬১৮১৩৫৮</v>
      </c>
      <c r="H1777" s="75" t="s">
        <v>322</v>
      </c>
      <c r="I1777" s="75" t="s">
        <v>322</v>
      </c>
      <c r="J1777" s="4"/>
    </row>
    <row r="1778" spans="1:10" x14ac:dyDescent="0.25">
      <c r="A1778" s="39">
        <v>1777</v>
      </c>
      <c r="B1778" s="3" t="s">
        <v>706</v>
      </c>
      <c r="C1778" s="75" t="s">
        <v>707</v>
      </c>
      <c r="D1778" s="75" t="s">
        <v>695</v>
      </c>
      <c r="E1778" s="75" t="str">
        <f t="shared" si="34"/>
        <v>০</v>
      </c>
      <c r="F1778" s="22" t="str">
        <f>"8119457833829"</f>
        <v>8119457833829</v>
      </c>
      <c r="G1778" s="75" t="str">
        <f>"১৩০৩০৬১৮১৩৫৭"</f>
        <v>১৩০৩০৬১৮১৩৫৭</v>
      </c>
      <c r="H1778" s="75" t="s">
        <v>322</v>
      </c>
      <c r="I1778" s="75" t="s">
        <v>322</v>
      </c>
      <c r="J1778" s="4"/>
    </row>
    <row r="1779" spans="1:10" x14ac:dyDescent="0.25">
      <c r="A1779" s="39">
        <v>1778</v>
      </c>
      <c r="B1779" s="3" t="s">
        <v>708</v>
      </c>
      <c r="C1779" s="75" t="s">
        <v>709</v>
      </c>
      <c r="D1779" s="75" t="s">
        <v>695</v>
      </c>
      <c r="E1779" s="75" t="str">
        <f t="shared" si="34"/>
        <v>০</v>
      </c>
      <c r="F1779" s="22" t="str">
        <f>"8119457833893"</f>
        <v>8119457833893</v>
      </c>
      <c r="G1779" s="75" t="str">
        <f>"১৩০৩০৬১৮১৩৫৬"</f>
        <v>১৩০৩০৬১৮১৩৫৬</v>
      </c>
      <c r="H1779" s="75" t="s">
        <v>456</v>
      </c>
      <c r="I1779" s="75" t="s">
        <v>456</v>
      </c>
      <c r="J1779" s="4"/>
    </row>
    <row r="1780" spans="1:10" x14ac:dyDescent="0.25">
      <c r="A1780" s="39">
        <v>1779</v>
      </c>
      <c r="B1780" s="3" t="s">
        <v>2986</v>
      </c>
      <c r="C1780" s="75" t="s">
        <v>710</v>
      </c>
      <c r="D1780" s="75" t="s">
        <v>695</v>
      </c>
      <c r="E1780" s="75" t="str">
        <f t="shared" si="34"/>
        <v>০</v>
      </c>
      <c r="F1780" s="22" t="str">
        <f>"8119457578338"</f>
        <v>8119457578338</v>
      </c>
      <c r="G1780" s="75" t="str">
        <f>"১৩০৩০৬১৮১৩৫৫"</f>
        <v>১৩০৩০৬১৮১৩৫৫</v>
      </c>
      <c r="H1780" s="75" t="s">
        <v>385</v>
      </c>
      <c r="I1780" s="75" t="s">
        <v>385</v>
      </c>
      <c r="J1780" s="4"/>
    </row>
    <row r="1781" spans="1:10" x14ac:dyDescent="0.25">
      <c r="A1781" s="39">
        <v>1780</v>
      </c>
      <c r="B1781" s="3" t="s">
        <v>711</v>
      </c>
      <c r="C1781" s="75" t="s">
        <v>712</v>
      </c>
      <c r="D1781" s="75" t="s">
        <v>695</v>
      </c>
      <c r="E1781" s="75" t="str">
        <f t="shared" si="34"/>
        <v>০</v>
      </c>
      <c r="F1781" s="22" t="str">
        <f>"8119457833843"</f>
        <v>8119457833843</v>
      </c>
      <c r="G1781" s="75" t="str">
        <f>"১৩০৩০৬১৮১৩৫৪"</f>
        <v>১৩০৩০৬১৮১৩৫৪</v>
      </c>
      <c r="H1781" s="75" t="s">
        <v>376</v>
      </c>
      <c r="I1781" s="75" t="s">
        <v>376</v>
      </c>
      <c r="J1781" s="4"/>
    </row>
    <row r="1782" spans="1:10" x14ac:dyDescent="0.25">
      <c r="A1782" s="39">
        <v>1781</v>
      </c>
      <c r="B1782" s="3" t="s">
        <v>713</v>
      </c>
      <c r="C1782" s="75" t="s">
        <v>700</v>
      </c>
      <c r="D1782" s="75" t="s">
        <v>695</v>
      </c>
      <c r="E1782" s="75" t="str">
        <f t="shared" si="34"/>
        <v>০</v>
      </c>
      <c r="F1782" s="22" t="str">
        <f>"8119457833389"</f>
        <v>8119457833389</v>
      </c>
      <c r="G1782" s="75" t="str">
        <f>"১৩০৩০৬১৮১৩৫৩"</f>
        <v>১৩০৩০৬১৮১৩৫৩</v>
      </c>
      <c r="H1782" s="75" t="s">
        <v>371</v>
      </c>
      <c r="I1782" s="75" t="s">
        <v>371</v>
      </c>
      <c r="J1782" s="4"/>
    </row>
    <row r="1783" spans="1:10" x14ac:dyDescent="0.25">
      <c r="A1783" s="39">
        <v>1782</v>
      </c>
      <c r="B1783" s="3" t="s">
        <v>2987</v>
      </c>
      <c r="C1783" s="75" t="s">
        <v>2988</v>
      </c>
      <c r="D1783" s="75" t="s">
        <v>695</v>
      </c>
      <c r="E1783" s="75" t="str">
        <f>"০১৭৩৩-৮৭০৮৬৫"</f>
        <v>০১৭৩৩-৮৭০৮৬৫</v>
      </c>
      <c r="F1783" s="22" t="str">
        <f>"8119457833854"</f>
        <v>8119457833854</v>
      </c>
      <c r="G1783" s="75" t="str">
        <f>"১৩০৩০৬১৮১৩৫২"</f>
        <v>১৩০৩০৬১৮১৩৫২</v>
      </c>
      <c r="H1783" s="75" t="s">
        <v>346</v>
      </c>
      <c r="I1783" s="75" t="s">
        <v>346</v>
      </c>
      <c r="J1783" s="4"/>
    </row>
    <row r="1784" spans="1:10" x14ac:dyDescent="0.25">
      <c r="A1784" s="39">
        <v>1783</v>
      </c>
      <c r="B1784" s="3" t="s">
        <v>2989</v>
      </c>
      <c r="C1784" s="75" t="s">
        <v>714</v>
      </c>
      <c r="D1784" s="75" t="s">
        <v>695</v>
      </c>
      <c r="E1784" s="75" t="str">
        <f>"০"</f>
        <v>০</v>
      </c>
      <c r="F1784" s="22" t="str">
        <f>"8119457833865"</f>
        <v>8119457833865</v>
      </c>
      <c r="G1784" s="75" t="str">
        <f>"১৩০৩০৬১৮১৩৫১"</f>
        <v>১৩০৩০৬১৮১৩৫১</v>
      </c>
      <c r="H1784" s="75" t="s">
        <v>322</v>
      </c>
      <c r="I1784" s="75" t="s">
        <v>322</v>
      </c>
      <c r="J1784" s="4"/>
    </row>
    <row r="1785" spans="1:10" x14ac:dyDescent="0.25">
      <c r="A1785" s="39">
        <v>1784</v>
      </c>
      <c r="B1785" s="3" t="s">
        <v>715</v>
      </c>
      <c r="C1785" s="75" t="s">
        <v>429</v>
      </c>
      <c r="D1785" s="75" t="s">
        <v>695</v>
      </c>
      <c r="E1785" s="75" t="str">
        <f>"০"</f>
        <v>০</v>
      </c>
      <c r="F1785" s="22" t="str">
        <f>"8119457833859"</f>
        <v>8119457833859</v>
      </c>
      <c r="G1785" s="75" t="str">
        <f>"১৩০৩০৬১৮১৩৫০"</f>
        <v>১৩০৩০৬১৮১৩৫০</v>
      </c>
      <c r="H1785" s="75" t="s">
        <v>385</v>
      </c>
      <c r="I1785" s="75" t="s">
        <v>385</v>
      </c>
      <c r="J1785" s="4"/>
    </row>
    <row r="1786" spans="1:10" x14ac:dyDescent="0.25">
      <c r="A1786" s="39">
        <v>1785</v>
      </c>
      <c r="B1786" s="3" t="s">
        <v>2604</v>
      </c>
      <c r="C1786" s="75" t="s">
        <v>2937</v>
      </c>
      <c r="D1786" s="75" t="s">
        <v>440</v>
      </c>
      <c r="E1786" s="75" t="str">
        <f>"০১৭৬৮-০৬১৮৩৫"</f>
        <v>০১৭৬৮-০৬১৮৩৫</v>
      </c>
      <c r="F1786" s="22" t="str">
        <f>"8119457821356"</f>
        <v>8119457821356</v>
      </c>
      <c r="G1786" s="75" t="str">
        <f>"১৩০৩০৬১৮১৩৩৩"</f>
        <v>১৩০৩০৬১৮১৩৩৩</v>
      </c>
      <c r="H1786" s="75" t="s">
        <v>322</v>
      </c>
      <c r="I1786" s="75" t="s">
        <v>322</v>
      </c>
      <c r="J1786" s="4"/>
    </row>
    <row r="1787" spans="1:10" x14ac:dyDescent="0.25">
      <c r="A1787" s="39">
        <v>1786</v>
      </c>
      <c r="B1787" s="3" t="s">
        <v>451</v>
      </c>
      <c r="C1787" s="75" t="s">
        <v>452</v>
      </c>
      <c r="D1787" s="75" t="s">
        <v>440</v>
      </c>
      <c r="E1787" s="75" t="str">
        <f>"০১৭৫৪-০১৯৪৮২"</f>
        <v>০১৭৫৪-০১৯৪৮২</v>
      </c>
      <c r="F1787" s="22" t="str">
        <f>"8119457000332"</f>
        <v>8119457000332</v>
      </c>
      <c r="G1787" s="75" t="str">
        <f>"১৩০৩০৬১৮১৩৩২"</f>
        <v>১৩০৩০৬১৮১৩৩২</v>
      </c>
      <c r="H1787" s="75" t="s">
        <v>362</v>
      </c>
      <c r="I1787" s="75" t="s">
        <v>362</v>
      </c>
      <c r="J1787" s="4"/>
    </row>
    <row r="1788" spans="1:10" x14ac:dyDescent="0.25">
      <c r="A1788" s="39">
        <v>1787</v>
      </c>
      <c r="B1788" s="3" t="s">
        <v>2938</v>
      </c>
      <c r="C1788" s="75" t="s">
        <v>2937</v>
      </c>
      <c r="D1788" s="75" t="s">
        <v>440</v>
      </c>
      <c r="E1788" s="75" t="str">
        <f>"০১৭২৩-৬৪৪৫০০"</f>
        <v>০১৭২৩-৬৪৪৫০০</v>
      </c>
      <c r="F1788" s="22" t="str">
        <f>"8119457811357"</f>
        <v>8119457811357</v>
      </c>
      <c r="G1788" s="75" t="str">
        <f>"১৩০৩০৬১৮১৩৩১"</f>
        <v>১৩০৩০৬১৮১৩৩১</v>
      </c>
      <c r="H1788" s="75" t="s">
        <v>385</v>
      </c>
      <c r="I1788" s="75" t="s">
        <v>385</v>
      </c>
      <c r="J1788" s="4"/>
    </row>
    <row r="1789" spans="1:10" x14ac:dyDescent="0.25">
      <c r="A1789" s="39">
        <v>1788</v>
      </c>
      <c r="B1789" s="3" t="s">
        <v>716</v>
      </c>
      <c r="C1789" s="75" t="s">
        <v>717</v>
      </c>
      <c r="D1789" s="75" t="s">
        <v>440</v>
      </c>
      <c r="E1789" s="75" t="str">
        <f t="shared" ref="E1789:E1821" si="35">"০"</f>
        <v>০</v>
      </c>
      <c r="F1789" s="22" t="str">
        <f>"8119457811157"</f>
        <v>8119457811157</v>
      </c>
      <c r="G1789" s="75" t="str">
        <f>"১৩০৩০৬১৮১৩৩০"</f>
        <v>১৩০৩০৬১৮১৩৩০</v>
      </c>
      <c r="H1789" s="75" t="s">
        <v>392</v>
      </c>
      <c r="I1789" s="75" t="s">
        <v>392</v>
      </c>
      <c r="J1789" s="4"/>
    </row>
    <row r="1790" spans="1:10" x14ac:dyDescent="0.25">
      <c r="A1790" s="39">
        <v>1789</v>
      </c>
      <c r="B1790" s="3" t="s">
        <v>718</v>
      </c>
      <c r="C1790" s="75" t="s">
        <v>2933</v>
      </c>
      <c r="D1790" s="75" t="s">
        <v>440</v>
      </c>
      <c r="E1790" s="75" t="str">
        <f t="shared" si="35"/>
        <v>০</v>
      </c>
      <c r="F1790" s="22" t="str">
        <f>"8119457811090"</f>
        <v>8119457811090</v>
      </c>
      <c r="G1790" s="75" t="str">
        <f>"১৩০৩০৬১৮১৩২৯"</f>
        <v>১৩০৩০৬১৮১৩২৯</v>
      </c>
      <c r="H1790" s="75" t="s">
        <v>316</v>
      </c>
      <c r="I1790" s="75" t="s">
        <v>316</v>
      </c>
      <c r="J1790" s="4"/>
    </row>
    <row r="1791" spans="1:10" x14ac:dyDescent="0.25">
      <c r="A1791" s="39">
        <v>1790</v>
      </c>
      <c r="B1791" s="3" t="s">
        <v>719</v>
      </c>
      <c r="C1791" s="75" t="s">
        <v>720</v>
      </c>
      <c r="D1791" s="75" t="s">
        <v>440</v>
      </c>
      <c r="E1791" s="75" t="str">
        <f t="shared" si="35"/>
        <v>০</v>
      </c>
      <c r="F1791" s="22" t="str">
        <f>"8119457811264"</f>
        <v>8119457811264</v>
      </c>
      <c r="G1791" s="75" t="str">
        <f>"১৩০৩০৬১৮১৩২৮"</f>
        <v>১৩০৩০৬১৮১৩২৮</v>
      </c>
      <c r="H1791" s="75" t="s">
        <v>346</v>
      </c>
      <c r="I1791" s="75" t="s">
        <v>346</v>
      </c>
      <c r="J1791" s="4"/>
    </row>
    <row r="1792" spans="1:10" x14ac:dyDescent="0.25">
      <c r="A1792" s="39">
        <v>1791</v>
      </c>
      <c r="B1792" s="3" t="s">
        <v>721</v>
      </c>
      <c r="C1792" s="75" t="s">
        <v>720</v>
      </c>
      <c r="D1792" s="75" t="s">
        <v>440</v>
      </c>
      <c r="E1792" s="75" t="str">
        <f t="shared" si="35"/>
        <v>০</v>
      </c>
      <c r="F1792" s="22" t="str">
        <f>"8119457781102"</f>
        <v>8119457781102</v>
      </c>
      <c r="G1792" s="75" t="str">
        <f>"১৩০৩০৬১৮১৩২৭"</f>
        <v>১৩০৩০৬১৮১৩২৭</v>
      </c>
      <c r="H1792" s="75" t="s">
        <v>349</v>
      </c>
      <c r="I1792" s="75" t="s">
        <v>349</v>
      </c>
      <c r="J1792" s="4"/>
    </row>
    <row r="1793" spans="1:10" x14ac:dyDescent="0.25">
      <c r="A1793" s="39">
        <v>1792</v>
      </c>
      <c r="B1793" s="3" t="s">
        <v>722</v>
      </c>
      <c r="C1793" s="75" t="s">
        <v>2990</v>
      </c>
      <c r="D1793" s="75" t="s">
        <v>440</v>
      </c>
      <c r="E1793" s="75" t="str">
        <f t="shared" si="35"/>
        <v>০</v>
      </c>
      <c r="F1793" s="22" t="str">
        <f>"8119457811013"</f>
        <v>8119457811013</v>
      </c>
      <c r="G1793" s="75" t="str">
        <f>"১৩০৩০৬১৮১৩২৬"</f>
        <v>১৩০৩০৬১৮১৩২৬</v>
      </c>
      <c r="H1793" s="75" t="s">
        <v>346</v>
      </c>
      <c r="I1793" s="75" t="s">
        <v>346</v>
      </c>
      <c r="J1793" s="4"/>
    </row>
    <row r="1794" spans="1:10" x14ac:dyDescent="0.25">
      <c r="A1794" s="39">
        <v>1793</v>
      </c>
      <c r="B1794" s="3" t="s">
        <v>723</v>
      </c>
      <c r="C1794" s="75" t="s">
        <v>724</v>
      </c>
      <c r="D1794" s="75" t="s">
        <v>440</v>
      </c>
      <c r="E1794" s="75" t="str">
        <f t="shared" si="35"/>
        <v>০</v>
      </c>
      <c r="F1794" s="22" t="str">
        <f>"8119457811166"</f>
        <v>8119457811166</v>
      </c>
      <c r="G1794" s="75" t="str">
        <f>"১৩০৩০৬১৮১৩২৫"</f>
        <v>১৩০৩০৬১৮১৩২৫</v>
      </c>
      <c r="H1794" s="75" t="s">
        <v>322</v>
      </c>
      <c r="I1794" s="75" t="s">
        <v>322</v>
      </c>
      <c r="J1794" s="4"/>
    </row>
    <row r="1795" spans="1:10" x14ac:dyDescent="0.25">
      <c r="A1795" s="39">
        <v>1794</v>
      </c>
      <c r="B1795" s="3" t="s">
        <v>2943</v>
      </c>
      <c r="C1795" s="75" t="s">
        <v>725</v>
      </c>
      <c r="D1795" s="75" t="s">
        <v>440</v>
      </c>
      <c r="E1795" s="75" t="str">
        <f t="shared" si="35"/>
        <v>০</v>
      </c>
      <c r="F1795" s="22" t="str">
        <f>"8119457811479"</f>
        <v>8119457811479</v>
      </c>
      <c r="G1795" s="75" t="str">
        <f>"১৩০৩০৬১৮১৩২৪"</f>
        <v>১৩০৩০৬১৮১৩২৪</v>
      </c>
      <c r="H1795" s="75" t="s">
        <v>322</v>
      </c>
      <c r="I1795" s="75" t="s">
        <v>322</v>
      </c>
      <c r="J1795" s="4"/>
    </row>
    <row r="1796" spans="1:10" x14ac:dyDescent="0.25">
      <c r="A1796" s="39">
        <v>1795</v>
      </c>
      <c r="B1796" s="3" t="s">
        <v>726</v>
      </c>
      <c r="C1796" s="75" t="s">
        <v>727</v>
      </c>
      <c r="D1796" s="75" t="s">
        <v>440</v>
      </c>
      <c r="E1796" s="75" t="str">
        <f t="shared" si="35"/>
        <v>০</v>
      </c>
      <c r="F1796" s="22" t="str">
        <f>"8119457811006"</f>
        <v>8119457811006</v>
      </c>
      <c r="G1796" s="75" t="str">
        <f>"১৩০৩০৬১৮১৩২৩"</f>
        <v>১৩০৩০৬১৮১৩২৩</v>
      </c>
      <c r="H1796" s="75" t="s">
        <v>346</v>
      </c>
      <c r="I1796" s="75" t="s">
        <v>346</v>
      </c>
      <c r="J1796" s="4"/>
    </row>
    <row r="1797" spans="1:10" x14ac:dyDescent="0.25">
      <c r="A1797" s="39">
        <v>1796</v>
      </c>
      <c r="B1797" s="3" t="s">
        <v>728</v>
      </c>
      <c r="C1797" s="75" t="s">
        <v>729</v>
      </c>
      <c r="D1797" s="75" t="s">
        <v>440</v>
      </c>
      <c r="E1797" s="75" t="str">
        <f t="shared" si="35"/>
        <v>০</v>
      </c>
      <c r="F1797" s="22" t="str">
        <f>"8119457"</f>
        <v>8119457</v>
      </c>
      <c r="G1797" s="75" t="str">
        <f>"১৩০৩০৬১৮১৩২২"</f>
        <v>১৩০৩০৬১৮১৩২২</v>
      </c>
      <c r="H1797" s="75" t="s">
        <v>357</v>
      </c>
      <c r="I1797" s="75" t="s">
        <v>357</v>
      </c>
      <c r="J1797" s="4"/>
    </row>
    <row r="1798" spans="1:10" x14ac:dyDescent="0.25">
      <c r="A1798" s="39">
        <v>1797</v>
      </c>
      <c r="B1798" s="3" t="s">
        <v>2991</v>
      </c>
      <c r="C1798" s="75" t="s">
        <v>730</v>
      </c>
      <c r="D1798" s="75" t="s">
        <v>440</v>
      </c>
      <c r="E1798" s="75" t="str">
        <f t="shared" si="35"/>
        <v>০</v>
      </c>
      <c r="F1798" s="22" t="str">
        <f>"8119457811585"</f>
        <v>8119457811585</v>
      </c>
      <c r="G1798" s="75" t="str">
        <f>"১৩০৩০৬১৮১৩২১"</f>
        <v>১৩০৩০৬১৮১৩২১</v>
      </c>
      <c r="H1798" s="75" t="s">
        <v>322</v>
      </c>
      <c r="I1798" s="75" t="s">
        <v>322</v>
      </c>
      <c r="J1798" s="4"/>
    </row>
    <row r="1799" spans="1:10" x14ac:dyDescent="0.25">
      <c r="A1799" s="39">
        <v>1798</v>
      </c>
      <c r="B1799" s="3" t="s">
        <v>731</v>
      </c>
      <c r="C1799" s="75" t="s">
        <v>2992</v>
      </c>
      <c r="D1799" s="75" t="s">
        <v>440</v>
      </c>
      <c r="E1799" s="75" t="str">
        <f t="shared" si="35"/>
        <v>০</v>
      </c>
      <c r="F1799" s="22" t="str">
        <f>"8119457811253"</f>
        <v>8119457811253</v>
      </c>
      <c r="G1799" s="75" t="str">
        <f>"১৩০৩০৬১৮১৩২০"</f>
        <v>১৩০৩০৬১৮১৩২০</v>
      </c>
      <c r="H1799" s="75" t="s">
        <v>362</v>
      </c>
      <c r="I1799" s="75" t="s">
        <v>362</v>
      </c>
      <c r="J1799" s="4"/>
    </row>
    <row r="1800" spans="1:10" x14ac:dyDescent="0.25">
      <c r="A1800" s="39">
        <v>1799</v>
      </c>
      <c r="B1800" s="3" t="s">
        <v>698</v>
      </c>
      <c r="C1800" s="75" t="s">
        <v>732</v>
      </c>
      <c r="D1800" s="75" t="s">
        <v>440</v>
      </c>
      <c r="E1800" s="75" t="str">
        <f t="shared" si="35"/>
        <v>০</v>
      </c>
      <c r="F1800" s="22" t="str">
        <f>"8119457811993"</f>
        <v>8119457811993</v>
      </c>
      <c r="G1800" s="75" t="str">
        <f>"১৩০৩০৬১৮১৩১৯"</f>
        <v>১৩০৩০৬১৮১৩১৯</v>
      </c>
      <c r="H1800" s="75" t="s">
        <v>364</v>
      </c>
      <c r="I1800" s="75" t="s">
        <v>364</v>
      </c>
      <c r="J1800" s="4"/>
    </row>
    <row r="1801" spans="1:10" x14ac:dyDescent="0.25">
      <c r="A1801" s="39">
        <v>1800</v>
      </c>
      <c r="B1801" s="3" t="s">
        <v>553</v>
      </c>
      <c r="C1801" s="75" t="s">
        <v>733</v>
      </c>
      <c r="D1801" s="75" t="s">
        <v>440</v>
      </c>
      <c r="E1801" s="75" t="str">
        <f t="shared" si="35"/>
        <v>০</v>
      </c>
      <c r="F1801" s="22" t="str">
        <f>"8119457811073"</f>
        <v>8119457811073</v>
      </c>
      <c r="G1801" s="75" t="str">
        <f>"১৩০৩০৬১৮১৩১৮"</f>
        <v>১৩০৩০৬১৮১৩১৮</v>
      </c>
      <c r="H1801" s="75" t="s">
        <v>322</v>
      </c>
      <c r="I1801" s="75" t="s">
        <v>322</v>
      </c>
      <c r="J1801" s="4"/>
    </row>
    <row r="1802" spans="1:10" x14ac:dyDescent="0.25">
      <c r="A1802" s="39">
        <v>1801</v>
      </c>
      <c r="B1802" s="3" t="s">
        <v>734</v>
      </c>
      <c r="C1802" s="75" t="s">
        <v>735</v>
      </c>
      <c r="D1802" s="75" t="s">
        <v>440</v>
      </c>
      <c r="E1802" s="75" t="str">
        <f t="shared" si="35"/>
        <v>০</v>
      </c>
      <c r="F1802" s="22" t="str">
        <f>"8119457811122"</f>
        <v>8119457811122</v>
      </c>
      <c r="G1802" s="75" t="str">
        <f>"১৩০৩০৬১৮১৩১৭"</f>
        <v>১৩০৩০৬১৮১৩১৭</v>
      </c>
      <c r="H1802" s="75" t="s">
        <v>349</v>
      </c>
      <c r="I1802" s="75" t="s">
        <v>349</v>
      </c>
      <c r="J1802" s="4"/>
    </row>
    <row r="1803" spans="1:10" x14ac:dyDescent="0.25">
      <c r="A1803" s="39">
        <v>1802</v>
      </c>
      <c r="B1803" s="3" t="s">
        <v>736</v>
      </c>
      <c r="C1803" s="75" t="s">
        <v>737</v>
      </c>
      <c r="D1803" s="75" t="s">
        <v>440</v>
      </c>
      <c r="E1803" s="75" t="str">
        <f t="shared" si="35"/>
        <v>০</v>
      </c>
      <c r="F1803" s="22" t="str">
        <f>"8119457811265"</f>
        <v>8119457811265</v>
      </c>
      <c r="G1803" s="75" t="str">
        <f>"১৩০৩০৬১৮১৩১৬"</f>
        <v>১৩০৩০৬১৮১৩১৬</v>
      </c>
      <c r="H1803" s="75" t="s">
        <v>371</v>
      </c>
      <c r="I1803" s="75" t="s">
        <v>371</v>
      </c>
      <c r="J1803" s="4"/>
    </row>
    <row r="1804" spans="1:10" x14ac:dyDescent="0.25">
      <c r="A1804" s="39">
        <v>1803</v>
      </c>
      <c r="B1804" s="3" t="s">
        <v>738</v>
      </c>
      <c r="C1804" s="75" t="s">
        <v>739</v>
      </c>
      <c r="D1804" s="75" t="s">
        <v>440</v>
      </c>
      <c r="E1804" s="75" t="str">
        <f t="shared" si="35"/>
        <v>০</v>
      </c>
      <c r="F1804" s="22" t="str">
        <f>"8119457811353"</f>
        <v>8119457811353</v>
      </c>
      <c r="G1804" s="75" t="str">
        <f>"১৩০৩০৬১৮১৩১৫"</f>
        <v>১৩০৩০৬১৮১৩১৫</v>
      </c>
      <c r="H1804" s="75" t="s">
        <v>323</v>
      </c>
      <c r="I1804" s="75" t="s">
        <v>323</v>
      </c>
      <c r="J1804" s="4"/>
    </row>
    <row r="1805" spans="1:10" x14ac:dyDescent="0.25">
      <c r="A1805" s="39">
        <v>1804</v>
      </c>
      <c r="B1805" s="3" t="s">
        <v>740</v>
      </c>
      <c r="C1805" s="75" t="s">
        <v>741</v>
      </c>
      <c r="D1805" s="75" t="s">
        <v>440</v>
      </c>
      <c r="E1805" s="75" t="str">
        <f t="shared" si="35"/>
        <v>০</v>
      </c>
      <c r="F1805" s="22" t="str">
        <f>"8119457811355"</f>
        <v>8119457811355</v>
      </c>
      <c r="G1805" s="75" t="str">
        <f>"১৩০৩০৬১৮১৩১৪"</f>
        <v>১৩০৩০৬১৮১৩১৪</v>
      </c>
      <c r="H1805" s="75" t="s">
        <v>376</v>
      </c>
      <c r="I1805" s="75" t="s">
        <v>376</v>
      </c>
      <c r="J1805" s="4"/>
    </row>
    <row r="1806" spans="1:10" x14ac:dyDescent="0.25">
      <c r="A1806" s="39">
        <v>1805</v>
      </c>
      <c r="B1806" s="3" t="s">
        <v>742</v>
      </c>
      <c r="C1806" s="75" t="s">
        <v>369</v>
      </c>
      <c r="D1806" s="75" t="s">
        <v>440</v>
      </c>
      <c r="E1806" s="75" t="str">
        <f t="shared" si="35"/>
        <v>০</v>
      </c>
      <c r="F1806" s="22" t="str">
        <f>"8119457811416"</f>
        <v>8119457811416</v>
      </c>
      <c r="G1806" s="75" t="str">
        <f>"১৩০৩০৬১৮১৩১৩"</f>
        <v>১৩০৩০৬১৮১৩১৩</v>
      </c>
      <c r="H1806" s="75" t="s">
        <v>371</v>
      </c>
      <c r="I1806" s="75" t="s">
        <v>371</v>
      </c>
      <c r="J1806" s="4"/>
    </row>
    <row r="1807" spans="1:10" x14ac:dyDescent="0.25">
      <c r="A1807" s="39">
        <v>1806</v>
      </c>
      <c r="B1807" s="3" t="s">
        <v>743</v>
      </c>
      <c r="C1807" s="75" t="s">
        <v>744</v>
      </c>
      <c r="D1807" s="75" t="s">
        <v>440</v>
      </c>
      <c r="E1807" s="75" t="str">
        <f t="shared" si="35"/>
        <v>০</v>
      </c>
      <c r="F1807" s="22" t="str">
        <f>"8119457811415"</f>
        <v>8119457811415</v>
      </c>
      <c r="G1807" s="75" t="str">
        <f>"১৩০৩০৬১৮১৩১২"</f>
        <v>১৩০৩০৬১৮১৩১২</v>
      </c>
      <c r="H1807" s="75" t="s">
        <v>362</v>
      </c>
      <c r="I1807" s="75" t="s">
        <v>362</v>
      </c>
      <c r="J1807" s="4"/>
    </row>
    <row r="1808" spans="1:10" x14ac:dyDescent="0.25">
      <c r="A1808" s="39">
        <v>1807</v>
      </c>
      <c r="B1808" s="3" t="s">
        <v>745</v>
      </c>
      <c r="C1808" s="75" t="s">
        <v>2993</v>
      </c>
      <c r="D1808" s="75" t="s">
        <v>440</v>
      </c>
      <c r="E1808" s="75" t="str">
        <f t="shared" si="35"/>
        <v>০</v>
      </c>
      <c r="F1808" s="22" t="str">
        <f>"8119457811195"</f>
        <v>8119457811195</v>
      </c>
      <c r="G1808" s="75" t="str">
        <f>"১৩০৩০৬১৮১৩১১"</f>
        <v>১৩০৩০৬১৮১৩১১</v>
      </c>
      <c r="H1808" s="75" t="s">
        <v>376</v>
      </c>
      <c r="I1808" s="75" t="s">
        <v>376</v>
      </c>
      <c r="J1808" s="4"/>
    </row>
    <row r="1809" spans="1:10" x14ac:dyDescent="0.25">
      <c r="A1809" s="39">
        <v>1808</v>
      </c>
      <c r="B1809" s="3" t="s">
        <v>746</v>
      </c>
      <c r="C1809" s="75" t="s">
        <v>369</v>
      </c>
      <c r="D1809" s="75" t="s">
        <v>440</v>
      </c>
      <c r="E1809" s="75" t="str">
        <f t="shared" si="35"/>
        <v>০</v>
      </c>
      <c r="F1809" s="22" t="str">
        <f>"8119457811406"</f>
        <v>8119457811406</v>
      </c>
      <c r="G1809" s="75" t="str">
        <f>"১৩০৩০৬১৮১৩১০"</f>
        <v>১৩০৩০৬১৮১৩১০</v>
      </c>
      <c r="H1809" s="75" t="s">
        <v>385</v>
      </c>
      <c r="I1809" s="75" t="s">
        <v>385</v>
      </c>
      <c r="J1809" s="4"/>
    </row>
    <row r="1810" spans="1:10" x14ac:dyDescent="0.25">
      <c r="A1810" s="39">
        <v>1809</v>
      </c>
      <c r="B1810" s="3" t="s">
        <v>747</v>
      </c>
      <c r="C1810" s="75" t="s">
        <v>748</v>
      </c>
      <c r="D1810" s="75" t="s">
        <v>440</v>
      </c>
      <c r="E1810" s="75" t="str">
        <f t="shared" si="35"/>
        <v>০</v>
      </c>
      <c r="F1810" s="22" t="str">
        <f>"8119457811254"</f>
        <v>8119457811254</v>
      </c>
      <c r="G1810" s="75" t="str">
        <f>"১৩০৩০৬১৮১৩০৯"</f>
        <v>১৩০৩০৬১৮১৩০৯</v>
      </c>
      <c r="H1810" s="75" t="s">
        <v>371</v>
      </c>
      <c r="I1810" s="75" t="s">
        <v>371</v>
      </c>
      <c r="J1810" s="4"/>
    </row>
    <row r="1811" spans="1:10" x14ac:dyDescent="0.25">
      <c r="A1811" s="39">
        <v>1810</v>
      </c>
      <c r="B1811" s="3" t="s">
        <v>749</v>
      </c>
      <c r="C1811" s="75" t="s">
        <v>750</v>
      </c>
      <c r="D1811" s="75" t="s">
        <v>440</v>
      </c>
      <c r="E1811" s="75" t="str">
        <f t="shared" si="35"/>
        <v>০</v>
      </c>
      <c r="F1811" s="22" t="str">
        <f>"8119457811427"</f>
        <v>8119457811427</v>
      </c>
      <c r="G1811" s="75" t="str">
        <f>"১৩০৩০৬১৮১৩০৮"</f>
        <v>১৩০৩০৬১৮১৩০৮</v>
      </c>
      <c r="H1811" s="75" t="s">
        <v>371</v>
      </c>
      <c r="I1811" s="75" t="s">
        <v>371</v>
      </c>
      <c r="J1811" s="4"/>
    </row>
    <row r="1812" spans="1:10" x14ac:dyDescent="0.25">
      <c r="A1812" s="39">
        <v>1811</v>
      </c>
      <c r="B1812" s="3" t="s">
        <v>751</v>
      </c>
      <c r="C1812" s="75" t="s">
        <v>752</v>
      </c>
      <c r="D1812" s="75" t="s">
        <v>440</v>
      </c>
      <c r="E1812" s="75" t="str">
        <f t="shared" si="35"/>
        <v>০</v>
      </c>
      <c r="F1812" s="22" t="str">
        <f>"8119457811561"</f>
        <v>8119457811561</v>
      </c>
      <c r="G1812" s="75" t="str">
        <f>"১৩০৩০৬১৮১৩০৭"</f>
        <v>১৩০৩০৬১৮১৩০৭</v>
      </c>
      <c r="H1812" s="75" t="s">
        <v>346</v>
      </c>
      <c r="I1812" s="75" t="s">
        <v>346</v>
      </c>
      <c r="J1812" s="4"/>
    </row>
    <row r="1813" spans="1:10" x14ac:dyDescent="0.25">
      <c r="A1813" s="39">
        <v>1812</v>
      </c>
      <c r="B1813" s="3" t="s">
        <v>753</v>
      </c>
      <c r="C1813" s="75" t="s">
        <v>754</v>
      </c>
      <c r="D1813" s="75" t="s">
        <v>440</v>
      </c>
      <c r="E1813" s="75" t="str">
        <f t="shared" si="35"/>
        <v>০</v>
      </c>
      <c r="F1813" s="22" t="str">
        <f>"8119457811084"</f>
        <v>8119457811084</v>
      </c>
      <c r="G1813" s="75" t="str">
        <f>"১৩০৩০৬১৮১৩০৬"</f>
        <v>১৩০৩০৬১৮১৩০৬</v>
      </c>
      <c r="H1813" s="75" t="s">
        <v>322</v>
      </c>
      <c r="I1813" s="75" t="s">
        <v>322</v>
      </c>
      <c r="J1813" s="4"/>
    </row>
    <row r="1814" spans="1:10" x14ac:dyDescent="0.25">
      <c r="A1814" s="39">
        <v>1813</v>
      </c>
      <c r="B1814" s="3" t="s">
        <v>755</v>
      </c>
      <c r="C1814" s="75" t="s">
        <v>548</v>
      </c>
      <c r="D1814" s="75" t="s">
        <v>440</v>
      </c>
      <c r="E1814" s="75" t="str">
        <f t="shared" si="35"/>
        <v>০</v>
      </c>
      <c r="F1814" s="22" t="str">
        <f>"8119457811260"</f>
        <v>8119457811260</v>
      </c>
      <c r="G1814" s="75" t="str">
        <f>"১৩০৩০৬১৮১৩০৫"</f>
        <v>১৩০৩০৬১৮১৩০৫</v>
      </c>
      <c r="H1814" s="75" t="s">
        <v>322</v>
      </c>
      <c r="I1814" s="75" t="s">
        <v>322</v>
      </c>
      <c r="J1814" s="4"/>
    </row>
    <row r="1815" spans="1:10" x14ac:dyDescent="0.25">
      <c r="A1815" s="39">
        <v>1814</v>
      </c>
      <c r="B1815" s="3" t="s">
        <v>756</v>
      </c>
      <c r="C1815" s="75" t="s">
        <v>757</v>
      </c>
      <c r="D1815" s="75" t="s">
        <v>440</v>
      </c>
      <c r="E1815" s="75" t="str">
        <f t="shared" si="35"/>
        <v>০</v>
      </c>
      <c r="F1815" s="22" t="str">
        <f>"8119457811592"</f>
        <v>8119457811592</v>
      </c>
      <c r="G1815" s="75" t="str">
        <f>"১৩০৩০৬১৮১৩০৪"</f>
        <v>১৩০৩০৬১৮১৩০৪</v>
      </c>
      <c r="H1815" s="75" t="s">
        <v>376</v>
      </c>
      <c r="I1815" s="75" t="s">
        <v>376</v>
      </c>
      <c r="J1815" s="4"/>
    </row>
    <row r="1816" spans="1:10" x14ac:dyDescent="0.25">
      <c r="A1816" s="39">
        <v>1815</v>
      </c>
      <c r="B1816" s="3" t="s">
        <v>758</v>
      </c>
      <c r="C1816" s="75" t="s">
        <v>757</v>
      </c>
      <c r="D1816" s="75" t="s">
        <v>440</v>
      </c>
      <c r="E1816" s="75" t="str">
        <f t="shared" si="35"/>
        <v>০</v>
      </c>
      <c r="F1816" s="22" t="str">
        <f>"8119457811544"</f>
        <v>8119457811544</v>
      </c>
      <c r="G1816" s="75" t="str">
        <f>"১৩০৩০৬১৮১৩০৩"</f>
        <v>১৩০৩০৬১৮১৩০৩</v>
      </c>
      <c r="H1816" s="75" t="s">
        <v>371</v>
      </c>
      <c r="I1816" s="75" t="s">
        <v>371</v>
      </c>
      <c r="J1816" s="4"/>
    </row>
    <row r="1817" spans="1:10" x14ac:dyDescent="0.25">
      <c r="A1817" s="39">
        <v>1816</v>
      </c>
      <c r="B1817" s="3" t="s">
        <v>759</v>
      </c>
      <c r="C1817" s="75" t="s">
        <v>2950</v>
      </c>
      <c r="D1817" s="75" t="s">
        <v>440</v>
      </c>
      <c r="E1817" s="75" t="str">
        <f t="shared" si="35"/>
        <v>০</v>
      </c>
      <c r="F1817" s="22" t="str">
        <f>"8119457811345"</f>
        <v>8119457811345</v>
      </c>
      <c r="G1817" s="75" t="str">
        <f>"১৩০৩০৬১৮১৩০২"</f>
        <v>১৩০৩০৬১৮১৩০২</v>
      </c>
      <c r="H1817" s="75" t="s">
        <v>392</v>
      </c>
      <c r="I1817" s="75" t="s">
        <v>392</v>
      </c>
      <c r="J1817" s="4"/>
    </row>
    <row r="1818" spans="1:10" x14ac:dyDescent="0.25">
      <c r="A1818" s="39">
        <v>1817</v>
      </c>
      <c r="B1818" s="3" t="s">
        <v>760</v>
      </c>
      <c r="C1818" s="75" t="s">
        <v>528</v>
      </c>
      <c r="D1818" s="75" t="s">
        <v>440</v>
      </c>
      <c r="E1818" s="75" t="str">
        <f t="shared" si="35"/>
        <v>০</v>
      </c>
      <c r="F1818" s="22" t="str">
        <f>"8119457811021"</f>
        <v>8119457811021</v>
      </c>
      <c r="G1818" s="75" t="str">
        <f>"১৩০৩০৬১৮১৩০১"</f>
        <v>১৩০৩০৬১৮১৩০১</v>
      </c>
      <c r="H1818" s="75" t="s">
        <v>393</v>
      </c>
      <c r="I1818" s="75" t="s">
        <v>393</v>
      </c>
      <c r="J1818" s="4"/>
    </row>
    <row r="1819" spans="1:10" x14ac:dyDescent="0.25">
      <c r="A1819" s="39">
        <v>1818</v>
      </c>
      <c r="B1819" s="3" t="s">
        <v>441</v>
      </c>
      <c r="C1819" s="75" t="s">
        <v>729</v>
      </c>
      <c r="D1819" s="75" t="s">
        <v>440</v>
      </c>
      <c r="E1819" s="75" t="str">
        <f t="shared" si="35"/>
        <v>০</v>
      </c>
      <c r="F1819" s="22" t="str">
        <f>"8119457811342"</f>
        <v>8119457811342</v>
      </c>
      <c r="G1819" s="75" t="str">
        <f>"১৩০৩০৬১৮১৩০০"</f>
        <v>১৩০৩০৬১৮১৩০০</v>
      </c>
      <c r="H1819" s="75" t="s">
        <v>362</v>
      </c>
      <c r="I1819" s="75" t="s">
        <v>362</v>
      </c>
      <c r="J1819" s="4"/>
    </row>
    <row r="1820" spans="1:10" x14ac:dyDescent="0.25">
      <c r="A1820" s="39">
        <v>1819</v>
      </c>
      <c r="B1820" s="3" t="s">
        <v>2054</v>
      </c>
      <c r="C1820" s="75" t="s">
        <v>761</v>
      </c>
      <c r="D1820" s="75" t="s">
        <v>440</v>
      </c>
      <c r="E1820" s="75" t="str">
        <f t="shared" si="35"/>
        <v>০</v>
      </c>
      <c r="F1820" s="22" t="str">
        <f>"8119457811323"</f>
        <v>8119457811323</v>
      </c>
      <c r="G1820" s="75" t="str">
        <f>"১৩০৩০৬১৮১২৯৯"</f>
        <v>১৩০৩০৬১৮১২৯৯</v>
      </c>
      <c r="H1820" s="75" t="s">
        <v>322</v>
      </c>
      <c r="I1820" s="75" t="s">
        <v>322</v>
      </c>
      <c r="J1820" s="4"/>
    </row>
    <row r="1821" spans="1:10" x14ac:dyDescent="0.25">
      <c r="A1821" s="39">
        <v>1820</v>
      </c>
      <c r="B1821" s="3" t="s">
        <v>351</v>
      </c>
      <c r="C1821" s="75" t="s">
        <v>762</v>
      </c>
      <c r="D1821" s="75" t="s">
        <v>440</v>
      </c>
      <c r="E1821" s="75" t="str">
        <f t="shared" si="35"/>
        <v>০</v>
      </c>
      <c r="F1821" s="22" t="str">
        <f>"8119457811327"</f>
        <v>8119457811327</v>
      </c>
      <c r="G1821" s="75" t="str">
        <f>"১৩০৩০৬১৮১২৯৮"</f>
        <v>১৩০৩০৬১৮১২৯৮</v>
      </c>
      <c r="H1821" s="75" t="s">
        <v>392</v>
      </c>
      <c r="I1821" s="75" t="s">
        <v>392</v>
      </c>
      <c r="J1821" s="4"/>
    </row>
    <row r="1822" spans="1:10" x14ac:dyDescent="0.25">
      <c r="A1822" s="39">
        <v>1821</v>
      </c>
      <c r="B1822" s="3" t="s">
        <v>2994</v>
      </c>
      <c r="C1822" s="75" t="s">
        <v>2995</v>
      </c>
      <c r="D1822" s="75" t="s">
        <v>440</v>
      </c>
      <c r="E1822" s="75" t="str">
        <f>"০১৭৩২-০১৯৮২৯"</f>
        <v>০১৭৩২-০১৯৮২৯</v>
      </c>
      <c r="F1822" s="22" t="str">
        <f>"8119457811012"</f>
        <v>8119457811012</v>
      </c>
      <c r="G1822" s="75" t="str">
        <f>"১৩০৩০৬১৮১২৯৭"</f>
        <v>১৩০৩০৬১৮১২৯৭</v>
      </c>
      <c r="H1822" s="75" t="s">
        <v>321</v>
      </c>
      <c r="I1822" s="75" t="s">
        <v>321</v>
      </c>
      <c r="J1822" s="4"/>
    </row>
    <row r="1823" spans="1:10" x14ac:dyDescent="0.25">
      <c r="A1823" s="39">
        <v>1822</v>
      </c>
      <c r="B1823" s="3" t="s">
        <v>763</v>
      </c>
      <c r="C1823" s="75" t="s">
        <v>727</v>
      </c>
      <c r="D1823" s="75" t="s">
        <v>440</v>
      </c>
      <c r="E1823" s="75" t="str">
        <f t="shared" ref="E1823:E1830" si="36">"০"</f>
        <v>০</v>
      </c>
      <c r="F1823" s="22" t="str">
        <f>"8119457811012"</f>
        <v>8119457811012</v>
      </c>
      <c r="G1823" s="75" t="str">
        <f>"১৩০৩০৬১৮১২৯৬"</f>
        <v>১৩০৩০৬১৮১২৯৬</v>
      </c>
      <c r="H1823" s="75" t="s">
        <v>371</v>
      </c>
      <c r="I1823" s="75" t="s">
        <v>371</v>
      </c>
      <c r="J1823" s="4"/>
    </row>
    <row r="1824" spans="1:10" x14ac:dyDescent="0.25">
      <c r="A1824" s="39">
        <v>1823</v>
      </c>
      <c r="B1824" s="3" t="s">
        <v>764</v>
      </c>
      <c r="C1824" s="75" t="s">
        <v>765</v>
      </c>
      <c r="D1824" s="75" t="s">
        <v>440</v>
      </c>
      <c r="E1824" s="75" t="str">
        <f t="shared" si="36"/>
        <v>০</v>
      </c>
      <c r="F1824" s="22" t="str">
        <f>"8119457811001"</f>
        <v>8119457811001</v>
      </c>
      <c r="G1824" s="75" t="str">
        <f>"১৩০৩০৬১৮১২৯৫"</f>
        <v>১৩০৩০৬১৮১২৯৫</v>
      </c>
      <c r="H1824" s="75" t="s">
        <v>323</v>
      </c>
      <c r="I1824" s="75" t="s">
        <v>323</v>
      </c>
      <c r="J1824" s="4"/>
    </row>
    <row r="1825" spans="1:10" x14ac:dyDescent="0.25">
      <c r="A1825" s="39">
        <v>1824</v>
      </c>
      <c r="B1825" s="3" t="s">
        <v>766</v>
      </c>
      <c r="C1825" s="75" t="s">
        <v>767</v>
      </c>
      <c r="D1825" s="75" t="s">
        <v>440</v>
      </c>
      <c r="E1825" s="75" t="str">
        <f t="shared" si="36"/>
        <v>০</v>
      </c>
      <c r="F1825" s="22" t="str">
        <f>"8119457811183"</f>
        <v>8119457811183</v>
      </c>
      <c r="G1825" s="75" t="str">
        <f>"১৩০৩০৬১৮১২৯৪"</f>
        <v>১৩০৩০৬১৮১২৯৪</v>
      </c>
      <c r="H1825" s="75" t="s">
        <v>323</v>
      </c>
      <c r="I1825" s="75" t="s">
        <v>323</v>
      </c>
      <c r="J1825" s="4"/>
    </row>
    <row r="1826" spans="1:10" x14ac:dyDescent="0.25">
      <c r="A1826" s="39">
        <v>1825</v>
      </c>
      <c r="B1826" s="3" t="s">
        <v>768</v>
      </c>
      <c r="C1826" s="75" t="s">
        <v>769</v>
      </c>
      <c r="D1826" s="75" t="s">
        <v>440</v>
      </c>
      <c r="E1826" s="75" t="str">
        <f t="shared" si="36"/>
        <v>০</v>
      </c>
      <c r="F1826" s="22" t="str">
        <f>"8119457811521"</f>
        <v>8119457811521</v>
      </c>
      <c r="G1826" s="75" t="str">
        <f>"১৩০৩০৬১৮১২৯৩"</f>
        <v>১৩০৩০৬১৮১২৯৩</v>
      </c>
      <c r="H1826" s="75" t="s">
        <v>404</v>
      </c>
      <c r="I1826" s="75" t="s">
        <v>404</v>
      </c>
      <c r="J1826" s="4"/>
    </row>
    <row r="1827" spans="1:10" x14ac:dyDescent="0.25">
      <c r="A1827" s="39">
        <v>1826</v>
      </c>
      <c r="B1827" s="3" t="s">
        <v>770</v>
      </c>
      <c r="C1827" s="75" t="s">
        <v>771</v>
      </c>
      <c r="D1827" s="75" t="s">
        <v>440</v>
      </c>
      <c r="E1827" s="75" t="str">
        <f t="shared" si="36"/>
        <v>০</v>
      </c>
      <c r="F1827" s="22" t="str">
        <f>"8119457811515"</f>
        <v>8119457811515</v>
      </c>
      <c r="G1827" s="75" t="str">
        <f>"১৩০৩০৬১৮১২৯২"</f>
        <v>১৩০৩০৬১৮১২৯২</v>
      </c>
      <c r="H1827" s="75" t="s">
        <v>362</v>
      </c>
      <c r="I1827" s="75" t="s">
        <v>362</v>
      </c>
      <c r="J1827" s="4"/>
    </row>
    <row r="1828" spans="1:10" x14ac:dyDescent="0.25">
      <c r="A1828" s="39">
        <v>1827</v>
      </c>
      <c r="B1828" s="3" t="s">
        <v>772</v>
      </c>
      <c r="C1828" s="75" t="s">
        <v>773</v>
      </c>
      <c r="D1828" s="75" t="s">
        <v>440</v>
      </c>
      <c r="E1828" s="75" t="str">
        <f t="shared" si="36"/>
        <v>০</v>
      </c>
      <c r="F1828" s="22" t="str">
        <f>"8119457000030"</f>
        <v>8119457000030</v>
      </c>
      <c r="G1828" s="75" t="str">
        <f>"১৩০৩০৬১৮১২৯১"</f>
        <v>১৩০৩০৬১৮১২৯১</v>
      </c>
      <c r="H1828" s="75" t="s">
        <v>407</v>
      </c>
      <c r="I1828" s="75" t="s">
        <v>407</v>
      </c>
      <c r="J1828" s="4"/>
    </row>
    <row r="1829" spans="1:10" x14ac:dyDescent="0.25">
      <c r="A1829" s="39">
        <v>1828</v>
      </c>
      <c r="B1829" s="3" t="s">
        <v>774</v>
      </c>
      <c r="C1829" s="75" t="s">
        <v>775</v>
      </c>
      <c r="D1829" s="75" t="s">
        <v>440</v>
      </c>
      <c r="E1829" s="75" t="str">
        <f t="shared" si="36"/>
        <v>০</v>
      </c>
      <c r="F1829" s="22" t="str">
        <f>"8119457811081"</f>
        <v>8119457811081</v>
      </c>
      <c r="G1829" s="75" t="str">
        <f>"১৩০৩০৬১৮১২৯০"</f>
        <v>১৩০৩০৬১৮১২৯০</v>
      </c>
      <c r="H1829" s="75" t="s">
        <v>371</v>
      </c>
      <c r="I1829" s="75" t="s">
        <v>371</v>
      </c>
      <c r="J1829" s="4"/>
    </row>
    <row r="1830" spans="1:10" x14ac:dyDescent="0.25">
      <c r="A1830" s="39">
        <v>1829</v>
      </c>
      <c r="B1830" s="3" t="s">
        <v>2922</v>
      </c>
      <c r="C1830" s="75" t="s">
        <v>2923</v>
      </c>
      <c r="D1830" s="75" t="s">
        <v>402</v>
      </c>
      <c r="E1830" s="75" t="str">
        <f t="shared" si="36"/>
        <v>০</v>
      </c>
      <c r="F1830" s="22" t="str">
        <f>"8119457834777"</f>
        <v>8119457834777</v>
      </c>
      <c r="G1830" s="75" t="str">
        <f>"১৩০৩০৬১৮১২৩০"</f>
        <v>১৩০৩০৬১৮১২৩০</v>
      </c>
      <c r="H1830" s="75" t="s">
        <v>376</v>
      </c>
      <c r="I1830" s="75" t="s">
        <v>376</v>
      </c>
      <c r="J1830" s="4"/>
    </row>
    <row r="1831" spans="1:10" x14ac:dyDescent="0.25">
      <c r="A1831" s="39">
        <v>1830</v>
      </c>
      <c r="B1831" s="3" t="s">
        <v>1822</v>
      </c>
      <c r="C1831" s="75" t="s">
        <v>423</v>
      </c>
      <c r="D1831" s="75" t="s">
        <v>402</v>
      </c>
      <c r="E1831" s="75" t="str">
        <f>"০১৭৭৪-৫৪৬৬৭৬"</f>
        <v>০১৭৭৪-৫৪৬৬৭৬</v>
      </c>
      <c r="F1831" s="22" t="str">
        <f>"8119457000465"</f>
        <v>8119457000465</v>
      </c>
      <c r="G1831" s="75" t="str">
        <f>"১৩০৩০৬১৮১২২৯"</f>
        <v>১৩০৩০৬১৮১২২৯</v>
      </c>
      <c r="H1831" s="75" t="s">
        <v>322</v>
      </c>
      <c r="I1831" s="75" t="s">
        <v>322</v>
      </c>
      <c r="J1831" s="4"/>
    </row>
    <row r="1832" spans="1:10" x14ac:dyDescent="0.25">
      <c r="A1832" s="39">
        <v>1831</v>
      </c>
      <c r="B1832" s="3" t="s">
        <v>2924</v>
      </c>
      <c r="C1832" s="75" t="s">
        <v>2925</v>
      </c>
      <c r="D1832" s="75" t="s">
        <v>402</v>
      </c>
      <c r="E1832" s="75" t="str">
        <f>"০১৭৮২-৮৩২৬৯০"</f>
        <v>০১৭৮২-৮৩২৬৯০</v>
      </c>
      <c r="F1832" s="22" t="str">
        <f>"8119457833603"</f>
        <v>8119457833603</v>
      </c>
      <c r="G1832" s="75" t="str">
        <f>"১৩০৩০৬১৮১২২৮"</f>
        <v>১৩০৩০৬১৮১২২৮</v>
      </c>
      <c r="H1832" s="75" t="s">
        <v>371</v>
      </c>
      <c r="I1832" s="75" t="s">
        <v>371</v>
      </c>
      <c r="J1832" s="4"/>
    </row>
    <row r="1833" spans="1:10" x14ac:dyDescent="0.25">
      <c r="A1833" s="39">
        <v>1832</v>
      </c>
      <c r="B1833" s="3" t="s">
        <v>2926</v>
      </c>
      <c r="C1833" s="75" t="s">
        <v>2927</v>
      </c>
      <c r="D1833" s="75" t="s">
        <v>402</v>
      </c>
      <c r="E1833" s="75" t="str">
        <f>"০১৭৩৭-৪৯৭০২৩"</f>
        <v>০১৭৩৭-৪৯৭০২৩</v>
      </c>
      <c r="F1833" s="22" t="str">
        <f>"8119457834569"</f>
        <v>8119457834569</v>
      </c>
      <c r="G1833" s="75" t="str">
        <f>"১৩০৩০৬১৮১২২৭"</f>
        <v>১৩০৩০৬১৮১২২৭</v>
      </c>
      <c r="H1833" s="75" t="s">
        <v>362</v>
      </c>
      <c r="I1833" s="75" t="s">
        <v>362</v>
      </c>
      <c r="J1833" s="4"/>
    </row>
    <row r="1834" spans="1:10" x14ac:dyDescent="0.25">
      <c r="A1834" s="39">
        <v>1833</v>
      </c>
      <c r="B1834" s="3" t="s">
        <v>2928</v>
      </c>
      <c r="C1834" s="75" t="s">
        <v>2929</v>
      </c>
      <c r="D1834" s="75" t="s">
        <v>402</v>
      </c>
      <c r="E1834" s="75" t="str">
        <f>"০১৭১৪-৯৭২৫৯২"</f>
        <v>০১৭১৪-৯৭২৫৯২</v>
      </c>
      <c r="F1834" s="22" t="str">
        <f>"8119457834435"</f>
        <v>8119457834435</v>
      </c>
      <c r="G1834" s="75" t="str">
        <f>"১৩০৩০৬১৮১২২৬"</f>
        <v>১৩০৩০৬১৮১২২৬</v>
      </c>
      <c r="H1834" s="75" t="s">
        <v>371</v>
      </c>
      <c r="I1834" s="75" t="s">
        <v>371</v>
      </c>
      <c r="J1834" s="4"/>
    </row>
    <row r="1835" spans="1:10" x14ac:dyDescent="0.25">
      <c r="A1835" s="39">
        <v>1834</v>
      </c>
      <c r="B1835" s="3" t="s">
        <v>2930</v>
      </c>
      <c r="C1835" s="75" t="s">
        <v>2931</v>
      </c>
      <c r="D1835" s="75" t="s">
        <v>402</v>
      </c>
      <c r="E1835" s="75" t="str">
        <f>"০১৭৩৭-২৭৯৬৭২"</f>
        <v>০১৭৩৭-২৭৯৬৭২</v>
      </c>
      <c r="F1835" s="22" t="str">
        <f>"8119457833488"</f>
        <v>8119457833488</v>
      </c>
      <c r="G1835" s="75" t="str">
        <f>"১৩০৩০৬১৮১২২৫"</f>
        <v>১৩০৩০৬১৮১২২৫</v>
      </c>
      <c r="H1835" s="75" t="s">
        <v>346</v>
      </c>
      <c r="I1835" s="75" t="s">
        <v>346</v>
      </c>
      <c r="J1835" s="4"/>
    </row>
    <row r="1836" spans="1:10" x14ac:dyDescent="0.25">
      <c r="A1836" s="39">
        <v>1835</v>
      </c>
      <c r="B1836" s="3" t="s">
        <v>2996</v>
      </c>
      <c r="C1836" s="75" t="s">
        <v>776</v>
      </c>
      <c r="D1836" s="75" t="s">
        <v>402</v>
      </c>
      <c r="E1836" s="75" t="str">
        <f t="shared" ref="E1836:E1899" si="37">"০"</f>
        <v>০</v>
      </c>
      <c r="F1836" s="22" t="str">
        <f>"8119457810025"</f>
        <v>8119457810025</v>
      </c>
      <c r="G1836" s="75" t="str">
        <f>"১৩০৩০৬১৮১২২৪"</f>
        <v>১৩০৩০৬১৮১২২৪</v>
      </c>
      <c r="H1836" s="75" t="s">
        <v>371</v>
      </c>
      <c r="I1836" s="75" t="s">
        <v>371</v>
      </c>
      <c r="J1836" s="4"/>
    </row>
    <row r="1837" spans="1:10" x14ac:dyDescent="0.25">
      <c r="A1837" s="39">
        <v>1836</v>
      </c>
      <c r="B1837" s="3" t="s">
        <v>777</v>
      </c>
      <c r="C1837" s="75" t="s">
        <v>778</v>
      </c>
      <c r="D1837" s="75" t="s">
        <v>402</v>
      </c>
      <c r="E1837" s="75" t="str">
        <f t="shared" si="37"/>
        <v>০</v>
      </c>
      <c r="F1837" s="22" t="str">
        <f>"8119457733615"</f>
        <v>8119457733615</v>
      </c>
      <c r="G1837" s="75" t="str">
        <f>"১৩০৩০৬১৮১২২৩"</f>
        <v>১৩০৩০৬১৮১২২৩</v>
      </c>
      <c r="H1837" s="75" t="s">
        <v>323</v>
      </c>
      <c r="I1837" s="75" t="s">
        <v>323</v>
      </c>
      <c r="J1837" s="4"/>
    </row>
    <row r="1838" spans="1:10" x14ac:dyDescent="0.25">
      <c r="A1838" s="39">
        <v>1837</v>
      </c>
      <c r="B1838" s="3" t="s">
        <v>779</v>
      </c>
      <c r="C1838" s="75" t="s">
        <v>537</v>
      </c>
      <c r="D1838" s="75" t="s">
        <v>402</v>
      </c>
      <c r="E1838" s="75" t="str">
        <f t="shared" si="37"/>
        <v>০</v>
      </c>
      <c r="F1838" s="22" t="str">
        <f>"8119457834651"</f>
        <v>8119457834651</v>
      </c>
      <c r="G1838" s="75" t="str">
        <f>"১৩০৩০৬১৮১২২২"</f>
        <v>১৩০৩০৬১৮১২২২</v>
      </c>
      <c r="H1838" s="75" t="s">
        <v>322</v>
      </c>
      <c r="I1838" s="75" t="s">
        <v>322</v>
      </c>
      <c r="J1838" s="4"/>
    </row>
    <row r="1839" spans="1:10" x14ac:dyDescent="0.25">
      <c r="A1839" s="39">
        <v>1838</v>
      </c>
      <c r="B1839" s="3" t="s">
        <v>780</v>
      </c>
      <c r="C1839" s="75" t="s">
        <v>781</v>
      </c>
      <c r="D1839" s="75" t="s">
        <v>402</v>
      </c>
      <c r="E1839" s="75" t="str">
        <f t="shared" si="37"/>
        <v>০</v>
      </c>
      <c r="F1839" s="22" t="str">
        <f>"8119457813822"</f>
        <v>8119457813822</v>
      </c>
      <c r="G1839" s="75" t="str">
        <f>"১৩০৩০৬১৮১২২১"</f>
        <v>১৩০৩০৬১৮১২২১</v>
      </c>
      <c r="H1839" s="75" t="s">
        <v>357</v>
      </c>
      <c r="I1839" s="75" t="s">
        <v>357</v>
      </c>
      <c r="J1839" s="4"/>
    </row>
    <row r="1840" spans="1:10" x14ac:dyDescent="0.25">
      <c r="A1840" s="39">
        <v>1839</v>
      </c>
      <c r="B1840" s="3" t="s">
        <v>782</v>
      </c>
      <c r="C1840" s="75" t="s">
        <v>783</v>
      </c>
      <c r="D1840" s="75" t="s">
        <v>402</v>
      </c>
      <c r="E1840" s="75" t="str">
        <f t="shared" si="37"/>
        <v>০</v>
      </c>
      <c r="F1840" s="22" t="str">
        <f>"8119457834523"</f>
        <v>8119457834523</v>
      </c>
      <c r="G1840" s="75" t="str">
        <f>"১৩০৩০৬১৮১২২০"</f>
        <v>১৩০৩০৬১৮১২২০</v>
      </c>
      <c r="H1840" s="75" t="s">
        <v>323</v>
      </c>
      <c r="I1840" s="75" t="s">
        <v>323</v>
      </c>
      <c r="J1840" s="4"/>
    </row>
    <row r="1841" spans="1:10" x14ac:dyDescent="0.25">
      <c r="A1841" s="39">
        <v>1840</v>
      </c>
      <c r="B1841" s="3" t="s">
        <v>784</v>
      </c>
      <c r="C1841" s="75" t="s">
        <v>2997</v>
      </c>
      <c r="D1841" s="75" t="s">
        <v>402</v>
      </c>
      <c r="E1841" s="75" t="str">
        <f t="shared" si="37"/>
        <v>০</v>
      </c>
      <c r="F1841" s="22" t="str">
        <f>"8119457834447"</f>
        <v>8119457834447</v>
      </c>
      <c r="G1841" s="75" t="str">
        <f>"১৩০৩০৬১৮১২১৯"</f>
        <v>১৩০৩০৬১৮১২১৯</v>
      </c>
      <c r="H1841" s="75" t="s">
        <v>362</v>
      </c>
      <c r="I1841" s="75" t="s">
        <v>362</v>
      </c>
      <c r="J1841" s="4"/>
    </row>
    <row r="1842" spans="1:10" x14ac:dyDescent="0.25">
      <c r="A1842" s="39">
        <v>1841</v>
      </c>
      <c r="B1842" s="3" t="s">
        <v>2998</v>
      </c>
      <c r="C1842" s="75" t="s">
        <v>785</v>
      </c>
      <c r="D1842" s="75" t="s">
        <v>402</v>
      </c>
      <c r="E1842" s="75" t="str">
        <f t="shared" si="37"/>
        <v>০</v>
      </c>
      <c r="F1842" s="22" t="str">
        <f>"8119457834503"</f>
        <v>8119457834503</v>
      </c>
      <c r="G1842" s="75" t="str">
        <f>"১৩০৩০৬১৮১২১৮"</f>
        <v>১৩০৩০৬১৮১২১৮</v>
      </c>
      <c r="H1842" s="75" t="s">
        <v>420</v>
      </c>
      <c r="I1842" s="75" t="s">
        <v>420</v>
      </c>
      <c r="J1842" s="4"/>
    </row>
    <row r="1843" spans="1:10" x14ac:dyDescent="0.25">
      <c r="A1843" s="39">
        <v>1842</v>
      </c>
      <c r="B1843" s="3" t="s">
        <v>2999</v>
      </c>
      <c r="C1843" s="75" t="s">
        <v>785</v>
      </c>
      <c r="D1843" s="75" t="s">
        <v>402</v>
      </c>
      <c r="E1843" s="75" t="str">
        <f t="shared" si="37"/>
        <v>০</v>
      </c>
      <c r="F1843" s="22" t="str">
        <f>"8119457834395"</f>
        <v>8119457834395</v>
      </c>
      <c r="G1843" s="75" t="str">
        <f>"১৩০৩০৬১৮১২১৭"</f>
        <v>১৩০৩০৬১৮১২১৭</v>
      </c>
      <c r="H1843" s="75" t="s">
        <v>371</v>
      </c>
      <c r="I1843" s="75" t="s">
        <v>371</v>
      </c>
      <c r="J1843" s="4"/>
    </row>
    <row r="1844" spans="1:10" x14ac:dyDescent="0.25">
      <c r="A1844" s="39">
        <v>1843</v>
      </c>
      <c r="B1844" s="3" t="s">
        <v>3000</v>
      </c>
      <c r="C1844" s="75" t="s">
        <v>3001</v>
      </c>
      <c r="D1844" s="75" t="s">
        <v>402</v>
      </c>
      <c r="E1844" s="75" t="str">
        <f t="shared" si="37"/>
        <v>০</v>
      </c>
      <c r="F1844" s="22" t="str">
        <f>"8119457834449"</f>
        <v>8119457834449</v>
      </c>
      <c r="G1844" s="75" t="str">
        <f>"১৩০৩০৬১৮১২১৬"</f>
        <v>১৩০৩০৬১৮১২১৬</v>
      </c>
      <c r="H1844" s="75" t="s">
        <v>346</v>
      </c>
      <c r="I1844" s="75" t="s">
        <v>346</v>
      </c>
      <c r="J1844" s="4"/>
    </row>
    <row r="1845" spans="1:10" x14ac:dyDescent="0.25">
      <c r="A1845" s="39">
        <v>1844</v>
      </c>
      <c r="B1845" s="3" t="s">
        <v>786</v>
      </c>
      <c r="C1845" s="75" t="s">
        <v>787</v>
      </c>
      <c r="D1845" s="75" t="s">
        <v>402</v>
      </c>
      <c r="E1845" s="75" t="str">
        <f t="shared" si="37"/>
        <v>০</v>
      </c>
      <c r="F1845" s="22" t="str">
        <f>"8119457833455"</f>
        <v>8119457833455</v>
      </c>
      <c r="G1845" s="75" t="str">
        <f>"১৩০৩০৬১৮১২১৫"</f>
        <v>১৩০৩০৬১৮১২১৫</v>
      </c>
      <c r="H1845" s="75" t="s">
        <v>357</v>
      </c>
      <c r="I1845" s="75" t="s">
        <v>357</v>
      </c>
      <c r="J1845" s="4"/>
    </row>
    <row r="1846" spans="1:10" x14ac:dyDescent="0.25">
      <c r="A1846" s="39">
        <v>1845</v>
      </c>
      <c r="B1846" s="3" t="s">
        <v>788</v>
      </c>
      <c r="C1846" s="75" t="s">
        <v>789</v>
      </c>
      <c r="D1846" s="75" t="s">
        <v>402</v>
      </c>
      <c r="E1846" s="75" t="str">
        <f t="shared" si="37"/>
        <v>০</v>
      </c>
      <c r="F1846" s="22" t="str">
        <f>"8119457833647"</f>
        <v>8119457833647</v>
      </c>
      <c r="G1846" s="75" t="str">
        <f>"১৩০৩০৬১৮১২১৪"</f>
        <v>১৩০৩০৬১৮১২১৪</v>
      </c>
      <c r="H1846" s="75" t="s">
        <v>322</v>
      </c>
      <c r="I1846" s="75" t="s">
        <v>322</v>
      </c>
      <c r="J1846" s="4"/>
    </row>
    <row r="1847" spans="1:10" x14ac:dyDescent="0.25">
      <c r="A1847" s="39">
        <v>1846</v>
      </c>
      <c r="B1847" s="3" t="s">
        <v>790</v>
      </c>
      <c r="C1847" s="75" t="s">
        <v>791</v>
      </c>
      <c r="D1847" s="75" t="s">
        <v>402</v>
      </c>
      <c r="E1847" s="75" t="str">
        <f t="shared" si="37"/>
        <v>০</v>
      </c>
      <c r="F1847" s="22" t="str">
        <f>"8119457833361"</f>
        <v>8119457833361</v>
      </c>
      <c r="G1847" s="75" t="str">
        <f>"১৩০৩০৬১৮১২১৩"</f>
        <v>১৩০৩০৬১৮১২১৩</v>
      </c>
      <c r="H1847" s="75" t="s">
        <v>321</v>
      </c>
      <c r="I1847" s="75" t="s">
        <v>321</v>
      </c>
      <c r="J1847" s="4"/>
    </row>
    <row r="1848" spans="1:10" x14ac:dyDescent="0.25">
      <c r="A1848" s="39">
        <v>1847</v>
      </c>
      <c r="B1848" s="3" t="s">
        <v>3002</v>
      </c>
      <c r="C1848" s="75" t="s">
        <v>792</v>
      </c>
      <c r="D1848" s="75" t="s">
        <v>402</v>
      </c>
      <c r="E1848" s="75" t="str">
        <f t="shared" si="37"/>
        <v>০</v>
      </c>
      <c r="F1848" s="22" t="str">
        <f>"8119457833609"</f>
        <v>8119457833609</v>
      </c>
      <c r="G1848" s="75" t="str">
        <f>"১৩০৩০৬১৮১২১২"</f>
        <v>১৩০৩০৬১৮১২১২</v>
      </c>
      <c r="H1848" s="75" t="s">
        <v>371</v>
      </c>
      <c r="I1848" s="75" t="s">
        <v>371</v>
      </c>
      <c r="J1848" s="4"/>
    </row>
    <row r="1849" spans="1:10" x14ac:dyDescent="0.25">
      <c r="A1849" s="39">
        <v>1848</v>
      </c>
      <c r="B1849" s="3" t="s">
        <v>2660</v>
      </c>
      <c r="C1849" s="75" t="s">
        <v>454</v>
      </c>
      <c r="D1849" s="75" t="s">
        <v>402</v>
      </c>
      <c r="E1849" s="75" t="str">
        <f t="shared" si="37"/>
        <v>০</v>
      </c>
      <c r="F1849" s="22" t="str">
        <f>"8119457714691"</f>
        <v>8119457714691</v>
      </c>
      <c r="G1849" s="75" t="str">
        <f>"১৩০৩০৬১৮১২১১"</f>
        <v>১৩০৩০৬১৮১২১১</v>
      </c>
      <c r="H1849" s="75" t="s">
        <v>424</v>
      </c>
      <c r="I1849" s="75" t="s">
        <v>424</v>
      </c>
      <c r="J1849" s="4"/>
    </row>
    <row r="1850" spans="1:10" x14ac:dyDescent="0.25">
      <c r="A1850" s="39">
        <v>1849</v>
      </c>
      <c r="B1850" s="3" t="s">
        <v>379</v>
      </c>
      <c r="C1850" s="75" t="s">
        <v>793</v>
      </c>
      <c r="D1850" s="75" t="s">
        <v>402</v>
      </c>
      <c r="E1850" s="75" t="str">
        <f t="shared" si="37"/>
        <v>০</v>
      </c>
      <c r="F1850" s="22" t="str">
        <f>"8119457834434"</f>
        <v>8119457834434</v>
      </c>
      <c r="G1850" s="75" t="str">
        <f>"১৩০৩০৬১৮১২১০"</f>
        <v>১৩০৩০৬১৮১২১০</v>
      </c>
      <c r="H1850" s="75" t="s">
        <v>425</v>
      </c>
      <c r="I1850" s="75" t="s">
        <v>425</v>
      </c>
      <c r="J1850" s="4"/>
    </row>
    <row r="1851" spans="1:10" x14ac:dyDescent="0.25">
      <c r="A1851" s="39">
        <v>1850</v>
      </c>
      <c r="B1851" s="3" t="s">
        <v>793</v>
      </c>
      <c r="C1851" s="75" t="s">
        <v>794</v>
      </c>
      <c r="D1851" s="75" t="s">
        <v>402</v>
      </c>
      <c r="E1851" s="75" t="str">
        <f t="shared" si="37"/>
        <v>০</v>
      </c>
      <c r="F1851" s="22" t="str">
        <f>"8119457834394"</f>
        <v>8119457834394</v>
      </c>
      <c r="G1851" s="75" t="str">
        <f>"১৩০৩০৬১৮১২০৯"</f>
        <v>১৩০৩০৬১৮১২০৯</v>
      </c>
      <c r="H1851" s="75" t="s">
        <v>424</v>
      </c>
      <c r="I1851" s="75" t="s">
        <v>424</v>
      </c>
      <c r="J1851" s="4"/>
    </row>
    <row r="1852" spans="1:10" x14ac:dyDescent="0.25">
      <c r="A1852" s="39">
        <v>1851</v>
      </c>
      <c r="B1852" s="3" t="s">
        <v>795</v>
      </c>
      <c r="C1852" s="75" t="s">
        <v>796</v>
      </c>
      <c r="D1852" s="75" t="s">
        <v>402</v>
      </c>
      <c r="E1852" s="75" t="str">
        <f t="shared" si="37"/>
        <v>০</v>
      </c>
      <c r="F1852" s="22" t="str">
        <f>"8119457834805"</f>
        <v>8119457834805</v>
      </c>
      <c r="G1852" s="75" t="str">
        <f>"১৩০৩০৬১৮১২০৮"</f>
        <v>১৩০৩০৬১৮১২০৮</v>
      </c>
      <c r="H1852" s="75" t="s">
        <v>323</v>
      </c>
      <c r="I1852" s="75" t="s">
        <v>323</v>
      </c>
      <c r="J1852" s="4"/>
    </row>
    <row r="1853" spans="1:10" x14ac:dyDescent="0.25">
      <c r="A1853" s="39">
        <v>1852</v>
      </c>
      <c r="B1853" s="3" t="s">
        <v>797</v>
      </c>
      <c r="C1853" s="75" t="s">
        <v>798</v>
      </c>
      <c r="D1853" s="75" t="s">
        <v>402</v>
      </c>
      <c r="E1853" s="75" t="str">
        <f t="shared" si="37"/>
        <v>০</v>
      </c>
      <c r="F1853" s="22" t="str">
        <f>"8119457833391"</f>
        <v>8119457833391</v>
      </c>
      <c r="G1853" s="75" t="str">
        <f>"১৩০৩০৬১৮১২০৭"</f>
        <v>১৩০৩০৬১৮১২০৭</v>
      </c>
      <c r="H1853" s="75" t="s">
        <v>319</v>
      </c>
      <c r="I1853" s="75" t="s">
        <v>319</v>
      </c>
      <c r="J1853" s="4"/>
    </row>
    <row r="1854" spans="1:10" x14ac:dyDescent="0.25">
      <c r="A1854" s="39">
        <v>1853</v>
      </c>
      <c r="B1854" s="3" t="s">
        <v>799</v>
      </c>
      <c r="C1854" s="75" t="s">
        <v>3003</v>
      </c>
      <c r="D1854" s="75" t="s">
        <v>402</v>
      </c>
      <c r="E1854" s="75" t="str">
        <f t="shared" si="37"/>
        <v>০</v>
      </c>
      <c r="F1854" s="22" t="str">
        <f>"8119457834290"</f>
        <v>8119457834290</v>
      </c>
      <c r="G1854" s="75" t="str">
        <f>"১৩০৩০৬১৮১২০৬"</f>
        <v>১৩০৩০৬১৮১২০৬</v>
      </c>
      <c r="H1854" s="75" t="s">
        <v>346</v>
      </c>
      <c r="I1854" s="75" t="s">
        <v>346</v>
      </c>
      <c r="J1854" s="4"/>
    </row>
    <row r="1855" spans="1:10" x14ac:dyDescent="0.25">
      <c r="A1855" s="39">
        <v>1854</v>
      </c>
      <c r="B1855" s="3" t="s">
        <v>800</v>
      </c>
      <c r="C1855" s="75" t="s">
        <v>801</v>
      </c>
      <c r="D1855" s="75" t="s">
        <v>402</v>
      </c>
      <c r="E1855" s="75" t="str">
        <f t="shared" si="37"/>
        <v>০</v>
      </c>
      <c r="F1855" s="22" t="str">
        <f>"8119457833529"</f>
        <v>8119457833529</v>
      </c>
      <c r="G1855" s="75" t="str">
        <f>"১৩০৩০৬১৮১২০৫"</f>
        <v>১৩০৩০৬১৮১২০৫</v>
      </c>
      <c r="H1855" s="75" t="s">
        <v>346</v>
      </c>
      <c r="I1855" s="75" t="s">
        <v>346</v>
      </c>
      <c r="J1855" s="4"/>
    </row>
    <row r="1856" spans="1:10" x14ac:dyDescent="0.25">
      <c r="A1856" s="39">
        <v>1855</v>
      </c>
      <c r="B1856" s="3" t="s">
        <v>802</v>
      </c>
      <c r="C1856" s="75" t="s">
        <v>803</v>
      </c>
      <c r="D1856" s="75" t="s">
        <v>402</v>
      </c>
      <c r="E1856" s="75" t="str">
        <f t="shared" si="37"/>
        <v>০</v>
      </c>
      <c r="F1856" s="22" t="str">
        <f>"8119457834651"</f>
        <v>8119457834651</v>
      </c>
      <c r="G1856" s="75" t="str">
        <f>"১৩০৩০৬১৮১২০৪"</f>
        <v>১৩০৩০৬১৮১২০৪</v>
      </c>
      <c r="H1856" s="75" t="s">
        <v>371</v>
      </c>
      <c r="I1856" s="75" t="s">
        <v>371</v>
      </c>
      <c r="J1856" s="4"/>
    </row>
    <row r="1857" spans="1:10" x14ac:dyDescent="0.25">
      <c r="A1857" s="39">
        <v>1856</v>
      </c>
      <c r="B1857" s="3" t="s">
        <v>3004</v>
      </c>
      <c r="C1857" s="75" t="s">
        <v>804</v>
      </c>
      <c r="D1857" s="75" t="s">
        <v>402</v>
      </c>
      <c r="E1857" s="75" t="str">
        <f t="shared" si="37"/>
        <v>০</v>
      </c>
      <c r="F1857" s="22" t="str">
        <f>"8119457834444"</f>
        <v>8119457834444</v>
      </c>
      <c r="G1857" s="75" t="str">
        <f>"১৩০৩০৬১৮১২০৩"</f>
        <v>১৩০৩০৬১৮১২০৩</v>
      </c>
      <c r="H1857" s="75" t="s">
        <v>323</v>
      </c>
      <c r="I1857" s="75" t="s">
        <v>323</v>
      </c>
      <c r="J1857" s="4"/>
    </row>
    <row r="1858" spans="1:10" x14ac:dyDescent="0.25">
      <c r="A1858" s="39">
        <v>1857</v>
      </c>
      <c r="B1858" s="3" t="s">
        <v>805</v>
      </c>
      <c r="C1858" s="75" t="s">
        <v>806</v>
      </c>
      <c r="D1858" s="75" t="s">
        <v>402</v>
      </c>
      <c r="E1858" s="75" t="str">
        <f t="shared" si="37"/>
        <v>০</v>
      </c>
      <c r="F1858" s="22" t="str">
        <f>"8119457834616"</f>
        <v>8119457834616</v>
      </c>
      <c r="G1858" s="75" t="str">
        <f>"১৩০৩০৬১৮১২০২"</f>
        <v>১৩০৩০৬১৮১২০২</v>
      </c>
      <c r="H1858" s="75" t="s">
        <v>321</v>
      </c>
      <c r="I1858" s="75" t="s">
        <v>321</v>
      </c>
      <c r="J1858" s="4"/>
    </row>
    <row r="1859" spans="1:10" x14ac:dyDescent="0.25">
      <c r="A1859" s="39">
        <v>1858</v>
      </c>
      <c r="B1859" s="3" t="s">
        <v>3005</v>
      </c>
      <c r="C1859" s="75" t="s">
        <v>807</v>
      </c>
      <c r="D1859" s="75" t="s">
        <v>402</v>
      </c>
      <c r="E1859" s="75" t="str">
        <f t="shared" si="37"/>
        <v>০</v>
      </c>
      <c r="F1859" s="22" t="str">
        <f>"8119457833028"</f>
        <v>8119457833028</v>
      </c>
      <c r="G1859" s="75" t="str">
        <f>"১৩০৩০৬১৮১২০১"</f>
        <v>১৩০৩০৬১৮১২০১</v>
      </c>
      <c r="H1859" s="75" t="s">
        <v>346</v>
      </c>
      <c r="I1859" s="75" t="s">
        <v>346</v>
      </c>
      <c r="J1859" s="4"/>
    </row>
    <row r="1860" spans="1:10" x14ac:dyDescent="0.25">
      <c r="A1860" s="39">
        <v>1859</v>
      </c>
      <c r="B1860" s="3" t="s">
        <v>3006</v>
      </c>
      <c r="C1860" s="75" t="s">
        <v>377</v>
      </c>
      <c r="D1860" s="75" t="s">
        <v>402</v>
      </c>
      <c r="E1860" s="75" t="str">
        <f t="shared" si="37"/>
        <v>০</v>
      </c>
      <c r="F1860" s="22" t="str">
        <f>"8119457833467"</f>
        <v>8119457833467</v>
      </c>
      <c r="G1860" s="75" t="str">
        <f>"১৩০৩০৬১৮১২০০"</f>
        <v>১৩০৩০৬১৮১২০০</v>
      </c>
      <c r="H1860" s="75" t="s">
        <v>392</v>
      </c>
      <c r="I1860" s="75" t="s">
        <v>392</v>
      </c>
      <c r="J1860" s="4"/>
    </row>
    <row r="1861" spans="1:10" x14ac:dyDescent="0.25">
      <c r="A1861" s="39">
        <v>1860</v>
      </c>
      <c r="B1861" s="3" t="s">
        <v>808</v>
      </c>
      <c r="C1861" s="75" t="s">
        <v>377</v>
      </c>
      <c r="D1861" s="75" t="s">
        <v>402</v>
      </c>
      <c r="E1861" s="75" t="str">
        <f t="shared" si="37"/>
        <v>০</v>
      </c>
      <c r="F1861" s="22" t="str">
        <f>"8119457833467"</f>
        <v>8119457833467</v>
      </c>
      <c r="G1861" s="75" t="str">
        <f>"১৩০৩০৬১৮১১৯৯"</f>
        <v>১৩০৩০৬১৮১১৯৯</v>
      </c>
      <c r="H1861" s="75" t="s">
        <v>371</v>
      </c>
      <c r="I1861" s="75" t="s">
        <v>371</v>
      </c>
      <c r="J1861" s="4"/>
    </row>
    <row r="1862" spans="1:10" x14ac:dyDescent="0.25">
      <c r="A1862" s="39">
        <v>1861</v>
      </c>
      <c r="B1862" s="3" t="s">
        <v>2036</v>
      </c>
      <c r="C1862" s="75" t="s">
        <v>809</v>
      </c>
      <c r="D1862" s="75" t="s">
        <v>402</v>
      </c>
      <c r="E1862" s="75" t="str">
        <f t="shared" si="37"/>
        <v>০</v>
      </c>
      <c r="F1862" s="22" t="str">
        <f>"8119457833430"</f>
        <v>8119457833430</v>
      </c>
      <c r="G1862" s="75" t="str">
        <f>"১৩০৩০৬১৮১১৯৮"</f>
        <v>১৩০৩০৬১৮১১৯৮</v>
      </c>
      <c r="H1862" s="75" t="s">
        <v>322</v>
      </c>
      <c r="I1862" s="75" t="s">
        <v>322</v>
      </c>
      <c r="J1862" s="4"/>
    </row>
    <row r="1863" spans="1:10" x14ac:dyDescent="0.25">
      <c r="A1863" s="39">
        <v>1862</v>
      </c>
      <c r="B1863" s="3" t="s">
        <v>810</v>
      </c>
      <c r="C1863" s="75" t="s">
        <v>811</v>
      </c>
      <c r="D1863" s="75" t="s">
        <v>402</v>
      </c>
      <c r="E1863" s="75" t="str">
        <f t="shared" si="37"/>
        <v>০</v>
      </c>
      <c r="F1863" s="22" t="str">
        <f>"8119457856906"</f>
        <v>8119457856906</v>
      </c>
      <c r="G1863" s="75" t="str">
        <f>"১৩০৩০৬১৮১১৯৭"</f>
        <v>১৩০৩০৬১৮১১৯৭</v>
      </c>
      <c r="H1863" s="75" t="s">
        <v>319</v>
      </c>
      <c r="I1863" s="75" t="s">
        <v>319</v>
      </c>
      <c r="J1863" s="4"/>
    </row>
    <row r="1864" spans="1:10" x14ac:dyDescent="0.25">
      <c r="A1864" s="39">
        <v>1863</v>
      </c>
      <c r="B1864" s="3" t="s">
        <v>812</v>
      </c>
      <c r="C1864" s="75" t="s">
        <v>813</v>
      </c>
      <c r="D1864" s="75" t="s">
        <v>402</v>
      </c>
      <c r="E1864" s="75" t="str">
        <f t="shared" si="37"/>
        <v>০</v>
      </c>
      <c r="F1864" s="22" t="str">
        <f>"8119457834614"</f>
        <v>8119457834614</v>
      </c>
      <c r="G1864" s="75" t="str">
        <f>"১৩০৩০৬১৮১১৯৬"</f>
        <v>১৩০৩০৬১৮১১৯৬</v>
      </c>
      <c r="H1864" s="75" t="s">
        <v>322</v>
      </c>
      <c r="I1864" s="75" t="s">
        <v>322</v>
      </c>
      <c r="J1864" s="4"/>
    </row>
    <row r="1865" spans="1:10" x14ac:dyDescent="0.25">
      <c r="A1865" s="39">
        <v>1864</v>
      </c>
      <c r="B1865" s="3" t="s">
        <v>814</v>
      </c>
      <c r="C1865" s="75" t="s">
        <v>3007</v>
      </c>
      <c r="D1865" s="75" t="s">
        <v>402</v>
      </c>
      <c r="E1865" s="75" t="str">
        <f t="shared" si="37"/>
        <v>০</v>
      </c>
      <c r="F1865" s="22" t="str">
        <f>"8119457832263"</f>
        <v>8119457832263</v>
      </c>
      <c r="G1865" s="75" t="str">
        <f>"১৩০৩০৬১৮১১৯৫"</f>
        <v>১৩০৩০৬১৮১১৯৫</v>
      </c>
      <c r="H1865" s="75" t="s">
        <v>357</v>
      </c>
      <c r="I1865" s="75" t="s">
        <v>357</v>
      </c>
      <c r="J1865" s="4"/>
    </row>
    <row r="1866" spans="1:10" x14ac:dyDescent="0.25">
      <c r="A1866" s="39">
        <v>1865</v>
      </c>
      <c r="B1866" s="3" t="s">
        <v>578</v>
      </c>
      <c r="C1866" s="75" t="s">
        <v>815</v>
      </c>
      <c r="D1866" s="75" t="s">
        <v>402</v>
      </c>
      <c r="E1866" s="75" t="str">
        <f t="shared" si="37"/>
        <v>০</v>
      </c>
      <c r="F1866" s="22" t="str">
        <f>"8119457833408"</f>
        <v>8119457833408</v>
      </c>
      <c r="G1866" s="75" t="str">
        <f>"১৩০৩০৬১৮১১৯৪"</f>
        <v>১৩০৩০৬১৮১১৯৪</v>
      </c>
      <c r="H1866" s="75" t="s">
        <v>392</v>
      </c>
      <c r="I1866" s="75" t="s">
        <v>392</v>
      </c>
      <c r="J1866" s="4"/>
    </row>
    <row r="1867" spans="1:10" x14ac:dyDescent="0.25">
      <c r="A1867" s="39">
        <v>1866</v>
      </c>
      <c r="B1867" s="3" t="s">
        <v>816</v>
      </c>
      <c r="C1867" s="75" t="s">
        <v>817</v>
      </c>
      <c r="D1867" s="75" t="s">
        <v>402</v>
      </c>
      <c r="E1867" s="75" t="str">
        <f t="shared" si="37"/>
        <v>০</v>
      </c>
      <c r="F1867" s="22" t="str">
        <f>"8119457834656"</f>
        <v>8119457834656</v>
      </c>
      <c r="G1867" s="75" t="str">
        <f>"১৩০৩০৬১৮১১৯৩"</f>
        <v>১৩০৩০৬১৮১১৯৩</v>
      </c>
      <c r="H1867" s="75" t="s">
        <v>371</v>
      </c>
      <c r="I1867" s="75" t="s">
        <v>371</v>
      </c>
      <c r="J1867" s="4"/>
    </row>
    <row r="1868" spans="1:10" x14ac:dyDescent="0.25">
      <c r="A1868" s="39">
        <v>1867</v>
      </c>
      <c r="B1868" s="3" t="s">
        <v>377</v>
      </c>
      <c r="C1868" s="75" t="s">
        <v>1782</v>
      </c>
      <c r="D1868" s="75" t="s">
        <v>402</v>
      </c>
      <c r="E1868" s="75" t="str">
        <f t="shared" si="37"/>
        <v>০</v>
      </c>
      <c r="F1868" s="22" t="str">
        <f>"8119457833446"</f>
        <v>8119457833446</v>
      </c>
      <c r="G1868" s="75" t="str">
        <f>"১৩০৩০৬১৮১১৯২"</f>
        <v>১৩০৩০৬১৮১১৯২</v>
      </c>
      <c r="H1868" s="75" t="s">
        <v>318</v>
      </c>
      <c r="I1868" s="75" t="s">
        <v>318</v>
      </c>
      <c r="J1868" s="4"/>
    </row>
    <row r="1869" spans="1:10" x14ac:dyDescent="0.25">
      <c r="A1869" s="39">
        <v>1868</v>
      </c>
      <c r="B1869" s="3" t="s">
        <v>818</v>
      </c>
      <c r="C1869" s="75" t="s">
        <v>815</v>
      </c>
      <c r="D1869" s="75" t="s">
        <v>402</v>
      </c>
      <c r="E1869" s="75" t="str">
        <f t="shared" si="37"/>
        <v>০</v>
      </c>
      <c r="F1869" s="22" t="str">
        <f>"8119457933395"</f>
        <v>8119457933395</v>
      </c>
      <c r="G1869" s="75" t="str">
        <f>"১৩০৩০৬১৮১১৯১"</f>
        <v>১৩০৩০৬১৮১১৯১</v>
      </c>
      <c r="H1869" s="75" t="s">
        <v>392</v>
      </c>
      <c r="I1869" s="75" t="s">
        <v>392</v>
      </c>
      <c r="J1869" s="4"/>
    </row>
    <row r="1870" spans="1:10" x14ac:dyDescent="0.25">
      <c r="A1870" s="39">
        <v>1869</v>
      </c>
      <c r="B1870" s="3" t="s">
        <v>3008</v>
      </c>
      <c r="C1870" s="75" t="s">
        <v>819</v>
      </c>
      <c r="D1870" s="75" t="s">
        <v>402</v>
      </c>
      <c r="E1870" s="75" t="str">
        <f t="shared" si="37"/>
        <v>০</v>
      </c>
      <c r="F1870" s="22" t="str">
        <f>"8119457834252"</f>
        <v>8119457834252</v>
      </c>
      <c r="G1870" s="75" t="str">
        <f>"১৩০৩০৬১৮১১৯০"</f>
        <v>১৩০৩০৬১৮১১৯০</v>
      </c>
      <c r="H1870" s="75" t="s">
        <v>385</v>
      </c>
      <c r="I1870" s="75" t="s">
        <v>385</v>
      </c>
      <c r="J1870" s="4"/>
    </row>
    <row r="1871" spans="1:10" x14ac:dyDescent="0.25">
      <c r="A1871" s="39">
        <v>1870</v>
      </c>
      <c r="B1871" s="3" t="s">
        <v>820</v>
      </c>
      <c r="C1871" s="75" t="s">
        <v>821</v>
      </c>
      <c r="D1871" s="75" t="s">
        <v>402</v>
      </c>
      <c r="E1871" s="75" t="str">
        <f t="shared" si="37"/>
        <v>০</v>
      </c>
      <c r="F1871" s="22" t="str">
        <f>"8119457834761"</f>
        <v>8119457834761</v>
      </c>
      <c r="G1871" s="75" t="str">
        <f>"১৩০৩০৬১৮১১৮৯"</f>
        <v>১৩০৩০৬১৮১১৮৯</v>
      </c>
      <c r="H1871" s="75" t="s">
        <v>323</v>
      </c>
      <c r="I1871" s="75" t="s">
        <v>323</v>
      </c>
      <c r="J1871" s="4"/>
    </row>
    <row r="1872" spans="1:10" x14ac:dyDescent="0.25">
      <c r="A1872" s="39">
        <v>1871</v>
      </c>
      <c r="B1872" s="3" t="s">
        <v>3009</v>
      </c>
      <c r="C1872" s="75" t="s">
        <v>3010</v>
      </c>
      <c r="D1872" s="75" t="s">
        <v>402</v>
      </c>
      <c r="E1872" s="75" t="str">
        <f t="shared" si="37"/>
        <v>০</v>
      </c>
      <c r="F1872" s="22" t="str">
        <f>"8119457834462"</f>
        <v>8119457834462</v>
      </c>
      <c r="G1872" s="75" t="str">
        <f>"১৩০৩০৬১৮১১৮৮"</f>
        <v>১৩০৩০৬১৮১১৮৮</v>
      </c>
      <c r="H1872" s="75" t="s">
        <v>456</v>
      </c>
      <c r="I1872" s="75" t="s">
        <v>456</v>
      </c>
      <c r="J1872" s="4"/>
    </row>
    <row r="1873" spans="1:10" x14ac:dyDescent="0.25">
      <c r="A1873" s="39">
        <v>1872</v>
      </c>
      <c r="B1873" s="3" t="s">
        <v>822</v>
      </c>
      <c r="C1873" s="75" t="s">
        <v>745</v>
      </c>
      <c r="D1873" s="75" t="s">
        <v>402</v>
      </c>
      <c r="E1873" s="75" t="str">
        <f t="shared" si="37"/>
        <v>০</v>
      </c>
      <c r="F1873" s="22" t="str">
        <f>"8119457834212"</f>
        <v>8119457834212</v>
      </c>
      <c r="G1873" s="75" t="str">
        <f>"১৩০৩০৬১৮১১৮৭"</f>
        <v>১৩০৩০৬১৮১১৮৭</v>
      </c>
      <c r="H1873" s="75" t="s">
        <v>371</v>
      </c>
      <c r="I1873" s="75" t="s">
        <v>371</v>
      </c>
      <c r="J1873" s="4"/>
    </row>
    <row r="1874" spans="1:10" x14ac:dyDescent="0.25">
      <c r="A1874" s="39">
        <v>1873</v>
      </c>
      <c r="B1874" s="3" t="s">
        <v>397</v>
      </c>
      <c r="C1874" s="75" t="s">
        <v>823</v>
      </c>
      <c r="D1874" s="75" t="s">
        <v>402</v>
      </c>
      <c r="E1874" s="75" t="str">
        <f t="shared" si="37"/>
        <v>০</v>
      </c>
      <c r="F1874" s="22" t="str">
        <f>"8119457434778"</f>
        <v>8119457434778</v>
      </c>
      <c r="G1874" s="75" t="str">
        <f>"১৩০৩০৬১৮১১৮৬"</f>
        <v>১৩০৩০৬১৮১১৮৬</v>
      </c>
      <c r="H1874" s="75" t="s">
        <v>371</v>
      </c>
      <c r="I1874" s="75" t="s">
        <v>371</v>
      </c>
      <c r="J1874" s="4"/>
    </row>
    <row r="1875" spans="1:10" x14ac:dyDescent="0.25">
      <c r="A1875" s="39">
        <v>1874</v>
      </c>
      <c r="B1875" s="3" t="s">
        <v>680</v>
      </c>
      <c r="C1875" s="75" t="s">
        <v>3011</v>
      </c>
      <c r="D1875" s="75" t="s">
        <v>402</v>
      </c>
      <c r="E1875" s="75" t="str">
        <f t="shared" si="37"/>
        <v>০</v>
      </c>
      <c r="F1875" s="22" t="str">
        <f>"8119457834430"</f>
        <v>8119457834430</v>
      </c>
      <c r="G1875" s="75" t="str">
        <f>"১৩০৩০৬১৮১১৮৫"</f>
        <v>১৩০৩০৬১৮১১৮৫</v>
      </c>
      <c r="H1875" s="75" t="s">
        <v>460</v>
      </c>
      <c r="I1875" s="75" t="s">
        <v>460</v>
      </c>
      <c r="J1875" s="4"/>
    </row>
    <row r="1876" spans="1:10" x14ac:dyDescent="0.25">
      <c r="A1876" s="39">
        <v>1875</v>
      </c>
      <c r="B1876" s="3" t="s">
        <v>824</v>
      </c>
      <c r="C1876" s="75" t="s">
        <v>3012</v>
      </c>
      <c r="D1876" s="75" t="s">
        <v>402</v>
      </c>
      <c r="E1876" s="75" t="str">
        <f t="shared" si="37"/>
        <v>০</v>
      </c>
      <c r="F1876" s="22" t="str">
        <f>"8119457834439"</f>
        <v>8119457834439</v>
      </c>
      <c r="G1876" s="75" t="str">
        <f>"১৩০৩০৬১৮১১৮৪"</f>
        <v>১৩০৩০৬১৮১১৮৪</v>
      </c>
      <c r="H1876" s="75" t="s">
        <v>329</v>
      </c>
      <c r="I1876" s="75" t="s">
        <v>329</v>
      </c>
      <c r="J1876" s="4"/>
    </row>
    <row r="1877" spans="1:10" x14ac:dyDescent="0.25">
      <c r="A1877" s="39">
        <v>1876</v>
      </c>
      <c r="B1877" s="3" t="s">
        <v>825</v>
      </c>
      <c r="C1877" s="75" t="s">
        <v>370</v>
      </c>
      <c r="D1877" s="75" t="s">
        <v>402</v>
      </c>
      <c r="E1877" s="75" t="str">
        <f t="shared" si="37"/>
        <v>০</v>
      </c>
      <c r="F1877" s="22" t="str">
        <f>"8119457834694"</f>
        <v>8119457834694</v>
      </c>
      <c r="G1877" s="75" t="str">
        <f>"১৩০৩০৬১৮১১৮৩"</f>
        <v>১৩০৩০৬১৮১১৮৩</v>
      </c>
      <c r="H1877" s="75" t="s">
        <v>319</v>
      </c>
      <c r="I1877" s="75" t="s">
        <v>319</v>
      </c>
      <c r="J1877" s="4"/>
    </row>
    <row r="1878" spans="1:10" x14ac:dyDescent="0.25">
      <c r="A1878" s="39">
        <v>1877</v>
      </c>
      <c r="B1878" s="3" t="s">
        <v>826</v>
      </c>
      <c r="C1878" s="75" t="s">
        <v>827</v>
      </c>
      <c r="D1878" s="75" t="s">
        <v>402</v>
      </c>
      <c r="E1878" s="75" t="str">
        <f t="shared" si="37"/>
        <v>০</v>
      </c>
      <c r="F1878" s="22" t="str">
        <f>"8119457833468"</f>
        <v>8119457833468</v>
      </c>
      <c r="G1878" s="75" t="str">
        <f>"১৩০৩০৬১৮১১৮২"</f>
        <v>১৩০৩০৬১৮১১৮২</v>
      </c>
      <c r="H1878" s="75" t="s">
        <v>322</v>
      </c>
      <c r="I1878" s="75" t="s">
        <v>322</v>
      </c>
      <c r="J1878" s="4"/>
    </row>
    <row r="1879" spans="1:10" x14ac:dyDescent="0.25">
      <c r="A1879" s="39">
        <v>1878</v>
      </c>
      <c r="B1879" s="3" t="s">
        <v>828</v>
      </c>
      <c r="C1879" s="75" t="s">
        <v>3013</v>
      </c>
      <c r="D1879" s="75" t="s">
        <v>402</v>
      </c>
      <c r="E1879" s="75" t="str">
        <f t="shared" si="37"/>
        <v>০</v>
      </c>
      <c r="F1879" s="22" t="str">
        <f>"8119457834400"</f>
        <v>8119457834400</v>
      </c>
      <c r="G1879" s="75" t="str">
        <f>"১৩০৩০৬১৮১১৮১"</f>
        <v>১৩০৩০৬১৮১১৮১</v>
      </c>
      <c r="H1879" s="75" t="s">
        <v>323</v>
      </c>
      <c r="I1879" s="75" t="s">
        <v>323</v>
      </c>
      <c r="J1879" s="4"/>
    </row>
    <row r="1880" spans="1:10" x14ac:dyDescent="0.25">
      <c r="A1880" s="39">
        <v>1879</v>
      </c>
      <c r="B1880" s="3" t="s">
        <v>829</v>
      </c>
      <c r="C1880" s="75" t="s">
        <v>830</v>
      </c>
      <c r="D1880" s="75" t="s">
        <v>402</v>
      </c>
      <c r="E1880" s="75" t="str">
        <f t="shared" si="37"/>
        <v>০</v>
      </c>
      <c r="F1880" s="22" t="str">
        <f>"8119457834811"</f>
        <v>8119457834811</v>
      </c>
      <c r="G1880" s="75" t="str">
        <f>"১৩০৩০৬১৮১১৮০"</f>
        <v>১৩০৩০৬১৮১১৮০</v>
      </c>
      <c r="H1880" s="75" t="s">
        <v>467</v>
      </c>
      <c r="I1880" s="75" t="s">
        <v>467</v>
      </c>
      <c r="J1880" s="4"/>
    </row>
    <row r="1881" spans="1:10" x14ac:dyDescent="0.25">
      <c r="A1881" s="39">
        <v>1880</v>
      </c>
      <c r="B1881" s="3" t="s">
        <v>831</v>
      </c>
      <c r="C1881" s="75" t="s">
        <v>417</v>
      </c>
      <c r="D1881" s="75" t="s">
        <v>402</v>
      </c>
      <c r="E1881" s="75" t="str">
        <f t="shared" si="37"/>
        <v>০</v>
      </c>
      <c r="F1881" s="22" t="str">
        <f>"8119457834672"</f>
        <v>8119457834672</v>
      </c>
      <c r="G1881" s="75" t="str">
        <f>"১৩০৩০৬১৮১১৭৯"</f>
        <v>১৩০৩০৬১৮১১৭৯</v>
      </c>
      <c r="H1881" s="75" t="s">
        <v>392</v>
      </c>
      <c r="I1881" s="75" t="s">
        <v>392</v>
      </c>
      <c r="J1881" s="4"/>
    </row>
    <row r="1882" spans="1:10" x14ac:dyDescent="0.25">
      <c r="A1882" s="39">
        <v>1881</v>
      </c>
      <c r="B1882" s="3" t="s">
        <v>832</v>
      </c>
      <c r="C1882" s="75" t="s">
        <v>409</v>
      </c>
      <c r="D1882" s="75" t="s">
        <v>402</v>
      </c>
      <c r="E1882" s="75" t="str">
        <f t="shared" si="37"/>
        <v>০</v>
      </c>
      <c r="F1882" s="22" t="str">
        <f>"8119457834554"</f>
        <v>8119457834554</v>
      </c>
      <c r="G1882" s="75" t="str">
        <f>"১৩০৩০৬১৮১১৭৮"</f>
        <v>১৩০৩০৬১৮১১৭৮</v>
      </c>
      <c r="H1882" s="75" t="s">
        <v>472</v>
      </c>
      <c r="I1882" s="75" t="s">
        <v>472</v>
      </c>
      <c r="J1882" s="4"/>
    </row>
    <row r="1883" spans="1:10" x14ac:dyDescent="0.25">
      <c r="A1883" s="39">
        <v>1882</v>
      </c>
      <c r="B1883" s="3" t="s">
        <v>833</v>
      </c>
      <c r="C1883" s="75" t="s">
        <v>834</v>
      </c>
      <c r="D1883" s="75" t="s">
        <v>402</v>
      </c>
      <c r="E1883" s="75" t="str">
        <f t="shared" si="37"/>
        <v>০</v>
      </c>
      <c r="F1883" s="22" t="str">
        <f>"8119457714697"</f>
        <v>8119457714697</v>
      </c>
      <c r="G1883" s="75" t="str">
        <f>"১৩০৩০৬১৮১১৭৭"</f>
        <v>১৩০৩০৬১৮১১৭৭</v>
      </c>
      <c r="H1883" s="75" t="s">
        <v>321</v>
      </c>
      <c r="I1883" s="75" t="s">
        <v>321</v>
      </c>
      <c r="J1883" s="4"/>
    </row>
    <row r="1884" spans="1:10" x14ac:dyDescent="0.25">
      <c r="A1884" s="39">
        <v>1883</v>
      </c>
      <c r="B1884" s="3" t="s">
        <v>835</v>
      </c>
      <c r="C1884" s="75" t="s">
        <v>414</v>
      </c>
      <c r="D1884" s="75" t="s">
        <v>402</v>
      </c>
      <c r="E1884" s="75" t="str">
        <f t="shared" si="37"/>
        <v>০</v>
      </c>
      <c r="F1884" s="22" t="str">
        <f>"8119457833478"</f>
        <v>8119457833478</v>
      </c>
      <c r="G1884" s="75" t="str">
        <f>"১৩০৩০৬১৮১১৭৬"</f>
        <v>১৩০৩০৬১৮১১৭৬</v>
      </c>
      <c r="H1884" s="75" t="s">
        <v>460</v>
      </c>
      <c r="I1884" s="75" t="s">
        <v>460</v>
      </c>
      <c r="J1884" s="4"/>
    </row>
    <row r="1885" spans="1:10" x14ac:dyDescent="0.25">
      <c r="A1885" s="39">
        <v>1884</v>
      </c>
      <c r="B1885" s="3" t="s">
        <v>3014</v>
      </c>
      <c r="C1885" s="75" t="s">
        <v>836</v>
      </c>
      <c r="D1885" s="75" t="s">
        <v>402</v>
      </c>
      <c r="E1885" s="75" t="str">
        <f t="shared" si="37"/>
        <v>০</v>
      </c>
      <c r="F1885" s="22" t="str">
        <f>"8119457833472"</f>
        <v>8119457833472</v>
      </c>
      <c r="G1885" s="75" t="str">
        <f>"১৩০৩০৬১৮১১৭৫"</f>
        <v>১৩০৩০৬১৮১১৭৫</v>
      </c>
      <c r="H1885" s="75" t="s">
        <v>322</v>
      </c>
      <c r="I1885" s="75" t="s">
        <v>322</v>
      </c>
      <c r="J1885" s="4"/>
    </row>
    <row r="1886" spans="1:10" x14ac:dyDescent="0.25">
      <c r="A1886" s="39">
        <v>1885</v>
      </c>
      <c r="B1886" s="3" t="s">
        <v>837</v>
      </c>
      <c r="C1886" s="75" t="s">
        <v>838</v>
      </c>
      <c r="D1886" s="75" t="s">
        <v>402</v>
      </c>
      <c r="E1886" s="75" t="str">
        <f t="shared" si="37"/>
        <v>০</v>
      </c>
      <c r="F1886" s="22" t="str">
        <f>"8119457856907"</f>
        <v>8119457856907</v>
      </c>
      <c r="G1886" s="75" t="str">
        <f>"১৩০৩০৬১৮১১৭৪"</f>
        <v>১৩০৩০৬১৮১১৭৪</v>
      </c>
      <c r="H1886" s="75" t="s">
        <v>460</v>
      </c>
      <c r="I1886" s="75" t="s">
        <v>460</v>
      </c>
      <c r="J1886" s="4"/>
    </row>
    <row r="1887" spans="1:10" x14ac:dyDescent="0.25">
      <c r="A1887" s="39">
        <v>1886</v>
      </c>
      <c r="B1887" s="3" t="s">
        <v>745</v>
      </c>
      <c r="C1887" s="75" t="s">
        <v>3015</v>
      </c>
      <c r="D1887" s="75" t="s">
        <v>402</v>
      </c>
      <c r="E1887" s="75" t="str">
        <f t="shared" si="37"/>
        <v>০</v>
      </c>
      <c r="F1887" s="22" t="str">
        <f>"8119457000122"</f>
        <v>8119457000122</v>
      </c>
      <c r="G1887" s="75" t="str">
        <f>"১৩০৩০৬১৮১১৭৩"</f>
        <v>১৩০৩০৬১৮১১৭৩</v>
      </c>
      <c r="H1887" s="75" t="s">
        <v>319</v>
      </c>
      <c r="I1887" s="75" t="s">
        <v>319</v>
      </c>
      <c r="J1887" s="4"/>
    </row>
    <row r="1888" spans="1:10" x14ac:dyDescent="0.25">
      <c r="A1888" s="39">
        <v>1887</v>
      </c>
      <c r="B1888" s="3" t="s">
        <v>648</v>
      </c>
      <c r="C1888" s="75" t="s">
        <v>839</v>
      </c>
      <c r="D1888" s="75" t="s">
        <v>402</v>
      </c>
      <c r="E1888" s="75" t="str">
        <f t="shared" si="37"/>
        <v>০</v>
      </c>
      <c r="F1888" s="22" t="str">
        <f>"8119457833586"</f>
        <v>8119457833586</v>
      </c>
      <c r="G1888" s="75" t="str">
        <f>"১৩০৩০৬১৮১১৭২"</f>
        <v>১৩০৩০৬১৮১১৭২</v>
      </c>
      <c r="H1888" s="75" t="s">
        <v>371</v>
      </c>
      <c r="I1888" s="75" t="s">
        <v>371</v>
      </c>
      <c r="J1888" s="4"/>
    </row>
    <row r="1889" spans="1:10" x14ac:dyDescent="0.25">
      <c r="A1889" s="39">
        <v>1888</v>
      </c>
      <c r="B1889" s="3" t="s">
        <v>840</v>
      </c>
      <c r="C1889" s="75" t="s">
        <v>841</v>
      </c>
      <c r="D1889" s="75" t="s">
        <v>402</v>
      </c>
      <c r="E1889" s="75" t="str">
        <f t="shared" si="37"/>
        <v>০</v>
      </c>
      <c r="F1889" s="22" t="str">
        <f>"8119457000081"</f>
        <v>8119457000081</v>
      </c>
      <c r="G1889" s="75" t="str">
        <f>"১৩০৩০৬১৮১১৭১"</f>
        <v>১৩০৩০৬১৮১১৭১</v>
      </c>
      <c r="H1889" s="75" t="s">
        <v>357</v>
      </c>
      <c r="I1889" s="75" t="s">
        <v>357</v>
      </c>
      <c r="J1889" s="4"/>
    </row>
    <row r="1890" spans="1:10" x14ac:dyDescent="0.25">
      <c r="A1890" s="39">
        <v>1889</v>
      </c>
      <c r="B1890" s="3" t="s">
        <v>842</v>
      </c>
      <c r="C1890" s="75" t="s">
        <v>843</v>
      </c>
      <c r="D1890" s="75" t="s">
        <v>402</v>
      </c>
      <c r="E1890" s="75" t="str">
        <f t="shared" si="37"/>
        <v>০</v>
      </c>
      <c r="F1890" s="22" t="str">
        <f>"8119457000025"</f>
        <v>8119457000025</v>
      </c>
      <c r="G1890" s="75" t="str">
        <f>"১৩০৩০৬১৮১১৭০"</f>
        <v>১৩০৩০৬১৮১১৭০</v>
      </c>
      <c r="H1890" s="75" t="s">
        <v>486</v>
      </c>
      <c r="I1890" s="75" t="s">
        <v>486</v>
      </c>
      <c r="J1890" s="4"/>
    </row>
    <row r="1891" spans="1:10" x14ac:dyDescent="0.25">
      <c r="A1891" s="39">
        <v>1890</v>
      </c>
      <c r="B1891" s="3" t="s">
        <v>844</v>
      </c>
      <c r="C1891" s="75" t="s">
        <v>845</v>
      </c>
      <c r="D1891" s="75" t="s">
        <v>489</v>
      </c>
      <c r="E1891" s="75" t="str">
        <f t="shared" si="37"/>
        <v>০</v>
      </c>
      <c r="F1891" s="22" t="str">
        <f>"8119457811649"</f>
        <v>8119457811649</v>
      </c>
      <c r="G1891" s="75" t="str">
        <f>"১৩০৩০৬১৮১৪৮০"</f>
        <v>১৩০৩০৬১৮১৪৮০</v>
      </c>
      <c r="H1891" s="75" t="s">
        <v>371</v>
      </c>
      <c r="I1891" s="75" t="s">
        <v>371</v>
      </c>
      <c r="J1891" s="4"/>
    </row>
    <row r="1892" spans="1:10" x14ac:dyDescent="0.25">
      <c r="A1892" s="39">
        <v>1891</v>
      </c>
      <c r="B1892" s="3" t="s">
        <v>487</v>
      </c>
      <c r="C1892" s="75" t="s">
        <v>488</v>
      </c>
      <c r="D1892" s="75" t="s">
        <v>489</v>
      </c>
      <c r="E1892" s="75" t="str">
        <f t="shared" si="37"/>
        <v>০</v>
      </c>
      <c r="F1892" s="22" t="str">
        <f>"8119457811796"</f>
        <v>8119457811796</v>
      </c>
      <c r="G1892" s="75" t="str">
        <f>"১৩০৩০৬১৮১৪৭৯"</f>
        <v>১৩০৩০৬১৮১৪৭৯</v>
      </c>
      <c r="H1892" s="75" t="s">
        <v>371</v>
      </c>
      <c r="I1892" s="75" t="s">
        <v>371</v>
      </c>
      <c r="J1892" s="4"/>
    </row>
    <row r="1893" spans="1:10" x14ac:dyDescent="0.25">
      <c r="A1893" s="39">
        <v>1892</v>
      </c>
      <c r="B1893" s="3" t="s">
        <v>3016</v>
      </c>
      <c r="C1893" s="75" t="s">
        <v>846</v>
      </c>
      <c r="D1893" s="75" t="s">
        <v>489</v>
      </c>
      <c r="E1893" s="75" t="str">
        <f t="shared" si="37"/>
        <v>০</v>
      </c>
      <c r="F1893" s="22" t="str">
        <f>"8119457811708"</f>
        <v>8119457811708</v>
      </c>
      <c r="G1893" s="75" t="str">
        <f>"১৩০৩০৬১৮১৪৭৮"</f>
        <v>১৩০৩০৬১৮১৪৭৮</v>
      </c>
      <c r="H1893" s="75" t="s">
        <v>385</v>
      </c>
      <c r="I1893" s="75" t="s">
        <v>385</v>
      </c>
      <c r="J1893" s="4"/>
    </row>
    <row r="1894" spans="1:10" x14ac:dyDescent="0.25">
      <c r="A1894" s="39">
        <v>1893</v>
      </c>
      <c r="B1894" s="3" t="s">
        <v>847</v>
      </c>
      <c r="C1894" s="75" t="s">
        <v>848</v>
      </c>
      <c r="D1894" s="75" t="s">
        <v>489</v>
      </c>
      <c r="E1894" s="75" t="str">
        <f t="shared" si="37"/>
        <v>০</v>
      </c>
      <c r="F1894" s="22" t="str">
        <f>"8119457811743"</f>
        <v>8119457811743</v>
      </c>
      <c r="G1894" s="75" t="str">
        <f>"১৩০৩০৬১৮১৪৭৭"</f>
        <v>১৩০৩০৬১৮১৪৭৭</v>
      </c>
      <c r="H1894" s="75" t="s">
        <v>495</v>
      </c>
      <c r="I1894" s="75" t="s">
        <v>495</v>
      </c>
      <c r="J1894" s="4"/>
    </row>
    <row r="1895" spans="1:10" x14ac:dyDescent="0.25">
      <c r="A1895" s="39">
        <v>1894</v>
      </c>
      <c r="B1895" s="3" t="s">
        <v>849</v>
      </c>
      <c r="C1895" s="75" t="s">
        <v>850</v>
      </c>
      <c r="D1895" s="75" t="s">
        <v>489</v>
      </c>
      <c r="E1895" s="75" t="str">
        <f t="shared" si="37"/>
        <v>০</v>
      </c>
      <c r="F1895" s="22" t="str">
        <f>"8119457000332"</f>
        <v>8119457000332</v>
      </c>
      <c r="G1895" s="75" t="str">
        <f>"১৩০৩০৬১৮১৪৭৬"</f>
        <v>১৩০৩০৬১৮১৪৭৬</v>
      </c>
      <c r="H1895" s="75" t="s">
        <v>322</v>
      </c>
      <c r="I1895" s="75" t="s">
        <v>322</v>
      </c>
      <c r="J1895" s="4"/>
    </row>
    <row r="1896" spans="1:10" x14ac:dyDescent="0.25">
      <c r="A1896" s="39">
        <v>1895</v>
      </c>
      <c r="B1896" s="3" t="s">
        <v>851</v>
      </c>
      <c r="C1896" s="75" t="s">
        <v>852</v>
      </c>
      <c r="D1896" s="75" t="s">
        <v>489</v>
      </c>
      <c r="E1896" s="75" t="str">
        <f t="shared" si="37"/>
        <v>০</v>
      </c>
      <c r="F1896" s="22" t="str">
        <f>"8119457820271"</f>
        <v>8119457820271</v>
      </c>
      <c r="G1896" s="75" t="str">
        <f>"১৩০৩০৬১৮১৪৭৫"</f>
        <v>১৩০৩০৬১৮১৪৭৫</v>
      </c>
      <c r="H1896" s="75" t="s">
        <v>346</v>
      </c>
      <c r="I1896" s="75" t="s">
        <v>346</v>
      </c>
      <c r="J1896" s="4"/>
    </row>
    <row r="1897" spans="1:10" x14ac:dyDescent="0.25">
      <c r="A1897" s="39">
        <v>1896</v>
      </c>
      <c r="B1897" s="3" t="s">
        <v>351</v>
      </c>
      <c r="C1897" s="75" t="s">
        <v>853</v>
      </c>
      <c r="D1897" s="75" t="s">
        <v>489</v>
      </c>
      <c r="E1897" s="75" t="str">
        <f t="shared" si="37"/>
        <v>০</v>
      </c>
      <c r="F1897" s="22" t="str">
        <f>"8119457811677"</f>
        <v>8119457811677</v>
      </c>
      <c r="G1897" s="75" t="str">
        <f>"১৩০৩০৬১৮১৪৭৪"</f>
        <v>১৩০৩০৬১৮১৪৭৪</v>
      </c>
      <c r="H1897" s="75" t="s">
        <v>319</v>
      </c>
      <c r="I1897" s="75" t="s">
        <v>319</v>
      </c>
      <c r="J1897" s="4"/>
    </row>
    <row r="1898" spans="1:10" x14ac:dyDescent="0.25">
      <c r="A1898" s="39">
        <v>1897</v>
      </c>
      <c r="B1898" s="3" t="s">
        <v>718</v>
      </c>
      <c r="C1898" s="75" t="s">
        <v>853</v>
      </c>
      <c r="D1898" s="75" t="s">
        <v>489</v>
      </c>
      <c r="E1898" s="75" t="str">
        <f t="shared" si="37"/>
        <v>০</v>
      </c>
      <c r="F1898" s="22" t="str">
        <f>"8119457811359"</f>
        <v>8119457811359</v>
      </c>
      <c r="G1898" s="75" t="str">
        <f>"১৩০৩০৬১৮১৪৭৩"</f>
        <v>১৩০৩০৬১৮১৪৭৩</v>
      </c>
      <c r="H1898" s="75" t="s">
        <v>323</v>
      </c>
      <c r="I1898" s="75" t="s">
        <v>323</v>
      </c>
      <c r="J1898" s="4"/>
    </row>
    <row r="1899" spans="1:10" x14ac:dyDescent="0.25">
      <c r="A1899" s="39">
        <v>1898</v>
      </c>
      <c r="B1899" s="3" t="s">
        <v>664</v>
      </c>
      <c r="C1899" s="75" t="s">
        <v>854</v>
      </c>
      <c r="D1899" s="75" t="s">
        <v>489</v>
      </c>
      <c r="E1899" s="75" t="str">
        <f t="shared" si="37"/>
        <v>০</v>
      </c>
      <c r="F1899" s="22" t="str">
        <f>"8119457811938"</f>
        <v>8119457811938</v>
      </c>
      <c r="G1899" s="75" t="str">
        <f>"১৩০৩০৬১৮১৪৭২"</f>
        <v>১৩০৩০৬১৮১৪৭২</v>
      </c>
      <c r="H1899" s="75" t="s">
        <v>346</v>
      </c>
      <c r="I1899" s="75" t="s">
        <v>346</v>
      </c>
      <c r="J1899" s="4"/>
    </row>
    <row r="1900" spans="1:10" x14ac:dyDescent="0.25">
      <c r="A1900" s="39">
        <v>1899</v>
      </c>
      <c r="B1900" s="3" t="s">
        <v>810</v>
      </c>
      <c r="C1900" s="75" t="s">
        <v>855</v>
      </c>
      <c r="D1900" s="75" t="s">
        <v>489</v>
      </c>
      <c r="E1900" s="75" t="str">
        <f t="shared" ref="E1900:E1939" si="38">"০"</f>
        <v>০</v>
      </c>
      <c r="F1900" s="22" t="str">
        <f>"8119457811935"</f>
        <v>8119457811935</v>
      </c>
      <c r="G1900" s="75" t="str">
        <f>"১৩০৩০৬১৮১৪৭১"</f>
        <v>১৩০৩০৬১৮১৪৭১</v>
      </c>
      <c r="H1900" s="75" t="s">
        <v>362</v>
      </c>
      <c r="I1900" s="75" t="s">
        <v>362</v>
      </c>
      <c r="J1900" s="4"/>
    </row>
    <row r="1901" spans="1:10" x14ac:dyDescent="0.25">
      <c r="A1901" s="39">
        <v>1900</v>
      </c>
      <c r="B1901" s="3" t="s">
        <v>856</v>
      </c>
      <c r="C1901" s="75" t="s">
        <v>857</v>
      </c>
      <c r="D1901" s="75" t="s">
        <v>489</v>
      </c>
      <c r="E1901" s="75" t="str">
        <f t="shared" si="38"/>
        <v>০</v>
      </c>
      <c r="F1901" s="22" t="str">
        <f>"8119457811669"</f>
        <v>8119457811669</v>
      </c>
      <c r="G1901" s="75" t="str">
        <f>"১৩০৩০৬১৮১৪৭০"</f>
        <v>১৩০৩০৬১৮১৪৭০</v>
      </c>
      <c r="H1901" s="75" t="s">
        <v>322</v>
      </c>
      <c r="I1901" s="75" t="s">
        <v>322</v>
      </c>
      <c r="J1901" s="4"/>
    </row>
    <row r="1902" spans="1:10" x14ac:dyDescent="0.25">
      <c r="A1902" s="39">
        <v>1901</v>
      </c>
      <c r="B1902" s="3" t="s">
        <v>623</v>
      </c>
      <c r="C1902" s="75" t="s">
        <v>858</v>
      </c>
      <c r="D1902" s="75" t="s">
        <v>489</v>
      </c>
      <c r="E1902" s="75" t="str">
        <f t="shared" si="38"/>
        <v>০</v>
      </c>
      <c r="F1902" s="22" t="str">
        <f>"8119457811667"</f>
        <v>8119457811667</v>
      </c>
      <c r="G1902" s="75" t="str">
        <f>"১৩০৩০৬১৮১৪৬৯"</f>
        <v>১৩০৩০৬১৮১৪৬৯</v>
      </c>
      <c r="H1902" s="75" t="s">
        <v>346</v>
      </c>
      <c r="I1902" s="75" t="s">
        <v>346</v>
      </c>
      <c r="J1902" s="4"/>
    </row>
    <row r="1903" spans="1:10" x14ac:dyDescent="0.25">
      <c r="A1903" s="39">
        <v>1902</v>
      </c>
      <c r="B1903" s="3" t="s">
        <v>3017</v>
      </c>
      <c r="C1903" s="75" t="s">
        <v>859</v>
      </c>
      <c r="D1903" s="75" t="s">
        <v>489</v>
      </c>
      <c r="E1903" s="75" t="str">
        <f t="shared" si="38"/>
        <v>০</v>
      </c>
      <c r="F1903" s="22" t="str">
        <f>"8119457811779"</f>
        <v>8119457811779</v>
      </c>
      <c r="G1903" s="75" t="str">
        <f>"১৩০৩০৬১৮১৪৬৮"</f>
        <v>১৩০৩০৬১৮১৪৬৮</v>
      </c>
      <c r="H1903" s="75" t="s">
        <v>362</v>
      </c>
      <c r="I1903" s="75" t="s">
        <v>362</v>
      </c>
      <c r="J1903" s="4"/>
    </row>
    <row r="1904" spans="1:10" x14ac:dyDescent="0.25">
      <c r="A1904" s="39">
        <v>1903</v>
      </c>
      <c r="B1904" s="3" t="s">
        <v>860</v>
      </c>
      <c r="C1904" s="75" t="s">
        <v>861</v>
      </c>
      <c r="D1904" s="75" t="s">
        <v>489</v>
      </c>
      <c r="E1904" s="75" t="str">
        <f t="shared" si="38"/>
        <v>০</v>
      </c>
      <c r="F1904" s="22" t="str">
        <f>"8119457811956"</f>
        <v>8119457811956</v>
      </c>
      <c r="G1904" s="75" t="str">
        <f>"১৩০৩০৬১৮১৪৬৭"</f>
        <v>১৩০৩০৬১৮১৪৬৭</v>
      </c>
      <c r="H1904" s="75" t="s">
        <v>326</v>
      </c>
      <c r="I1904" s="75" t="s">
        <v>326</v>
      </c>
      <c r="J1904" s="4"/>
    </row>
    <row r="1905" spans="1:10" x14ac:dyDescent="0.25">
      <c r="A1905" s="39">
        <v>1904</v>
      </c>
      <c r="B1905" s="3" t="s">
        <v>862</v>
      </c>
      <c r="C1905" s="75" t="s">
        <v>863</v>
      </c>
      <c r="D1905" s="75" t="s">
        <v>489</v>
      </c>
      <c r="E1905" s="75" t="str">
        <f t="shared" si="38"/>
        <v>০</v>
      </c>
      <c r="F1905" s="22" t="str">
        <f>"8119457811633"</f>
        <v>8119457811633</v>
      </c>
      <c r="G1905" s="75" t="str">
        <f>"১৩০৩০৬১৮১৪৬৬"</f>
        <v>১৩০৩০৬১৮১৪৬৬</v>
      </c>
      <c r="H1905" s="75" t="s">
        <v>322</v>
      </c>
      <c r="I1905" s="75" t="s">
        <v>322</v>
      </c>
      <c r="J1905" s="4"/>
    </row>
    <row r="1906" spans="1:10" x14ac:dyDescent="0.25">
      <c r="A1906" s="39">
        <v>1905</v>
      </c>
      <c r="B1906" s="3" t="s">
        <v>678</v>
      </c>
      <c r="C1906" s="75" t="s">
        <v>859</v>
      </c>
      <c r="D1906" s="75" t="s">
        <v>489</v>
      </c>
      <c r="E1906" s="75" t="str">
        <f t="shared" si="38"/>
        <v>০</v>
      </c>
      <c r="F1906" s="22" t="str">
        <f>"8119457812056"</f>
        <v>8119457812056</v>
      </c>
      <c r="G1906" s="75" t="str">
        <f>"১৩০৩০৬১৮১৪৬৫"</f>
        <v>১৩০৩০৬১৮১৪৬৫</v>
      </c>
      <c r="H1906" s="75" t="s">
        <v>322</v>
      </c>
      <c r="I1906" s="75" t="s">
        <v>322</v>
      </c>
      <c r="J1906" s="4"/>
    </row>
    <row r="1907" spans="1:10" x14ac:dyDescent="0.25">
      <c r="A1907" s="39">
        <v>1906</v>
      </c>
      <c r="B1907" s="3" t="s">
        <v>864</v>
      </c>
      <c r="C1907" s="75" t="s">
        <v>865</v>
      </c>
      <c r="D1907" s="75" t="s">
        <v>489</v>
      </c>
      <c r="E1907" s="75" t="str">
        <f t="shared" si="38"/>
        <v>০</v>
      </c>
      <c r="F1907" s="22" t="str">
        <f>"8119457000265"</f>
        <v>8119457000265</v>
      </c>
      <c r="G1907" s="75" t="str">
        <f>"১৩০৩০৬১৮১৪৬৪"</f>
        <v>১৩০৩০৬১৮১৪৬৪</v>
      </c>
      <c r="H1907" s="75" t="s">
        <v>346</v>
      </c>
      <c r="I1907" s="75" t="s">
        <v>346</v>
      </c>
      <c r="J1907" s="4"/>
    </row>
    <row r="1908" spans="1:10" x14ac:dyDescent="0.25">
      <c r="A1908" s="39">
        <v>1907</v>
      </c>
      <c r="B1908" s="3" t="s">
        <v>866</v>
      </c>
      <c r="C1908" s="75" t="s">
        <v>867</v>
      </c>
      <c r="D1908" s="75" t="s">
        <v>489</v>
      </c>
      <c r="E1908" s="75" t="str">
        <f t="shared" si="38"/>
        <v>০</v>
      </c>
      <c r="F1908" s="22" t="str">
        <f>"8119457811968"</f>
        <v>8119457811968</v>
      </c>
      <c r="G1908" s="75" t="str">
        <f>"১৩০৩০৬১৮১৪৬৩"</f>
        <v>১৩০৩০৬১৮১৪৬৩</v>
      </c>
      <c r="H1908" s="75" t="s">
        <v>362</v>
      </c>
      <c r="I1908" s="75" t="s">
        <v>362</v>
      </c>
      <c r="J1908" s="4"/>
    </row>
    <row r="1909" spans="1:10" x14ac:dyDescent="0.25">
      <c r="A1909" s="39">
        <v>1908</v>
      </c>
      <c r="B1909" s="3" t="s">
        <v>868</v>
      </c>
      <c r="C1909" s="75" t="s">
        <v>869</v>
      </c>
      <c r="D1909" s="75" t="s">
        <v>489</v>
      </c>
      <c r="E1909" s="75" t="str">
        <f t="shared" si="38"/>
        <v>০</v>
      </c>
      <c r="F1909" s="22" t="str">
        <f>"8119457811635"</f>
        <v>8119457811635</v>
      </c>
      <c r="G1909" s="75" t="str">
        <f>"১৩০৩০৬১৮১৪৬২"</f>
        <v>১৩০৩০৬১৮১৪৬২</v>
      </c>
      <c r="H1909" s="75" t="s">
        <v>349</v>
      </c>
      <c r="I1909" s="75" t="s">
        <v>349</v>
      </c>
      <c r="J1909" s="4"/>
    </row>
    <row r="1910" spans="1:10" x14ac:dyDescent="0.25">
      <c r="A1910" s="39">
        <v>1909</v>
      </c>
      <c r="B1910" s="3" t="s">
        <v>693</v>
      </c>
      <c r="C1910" s="75" t="s">
        <v>678</v>
      </c>
      <c r="D1910" s="75" t="s">
        <v>489</v>
      </c>
      <c r="E1910" s="75" t="str">
        <f t="shared" si="38"/>
        <v>০</v>
      </c>
      <c r="F1910" s="22" t="str">
        <f>"8119457000156"</f>
        <v>8119457000156</v>
      </c>
      <c r="G1910" s="75" t="str">
        <f>"১৩০৩০৬১৮১৪৬১"</f>
        <v>১৩০৩০৬১৮১৪৬১</v>
      </c>
      <c r="H1910" s="75" t="s">
        <v>362</v>
      </c>
      <c r="I1910" s="75" t="s">
        <v>362</v>
      </c>
      <c r="J1910" s="4"/>
    </row>
    <row r="1911" spans="1:10" x14ac:dyDescent="0.25">
      <c r="A1911" s="39">
        <v>1910</v>
      </c>
      <c r="B1911" s="3" t="s">
        <v>665</v>
      </c>
      <c r="C1911" s="75" t="s">
        <v>870</v>
      </c>
      <c r="D1911" s="75" t="s">
        <v>489</v>
      </c>
      <c r="E1911" s="75" t="str">
        <f t="shared" si="38"/>
        <v>০</v>
      </c>
      <c r="F1911" s="22" t="str">
        <f>"8119457812381"</f>
        <v>8119457812381</v>
      </c>
      <c r="G1911" s="75" t="str">
        <f>"১৩০৩০৬১৮১৪৬০"</f>
        <v>১৩০৩০৬১৮১৪৬০</v>
      </c>
      <c r="H1911" s="75" t="s">
        <v>371</v>
      </c>
      <c r="I1911" s="75" t="s">
        <v>371</v>
      </c>
      <c r="J1911" s="4"/>
    </row>
    <row r="1912" spans="1:10" x14ac:dyDescent="0.25">
      <c r="A1912" s="39">
        <v>1911</v>
      </c>
      <c r="B1912" s="3" t="s">
        <v>871</v>
      </c>
      <c r="C1912" s="75" t="s">
        <v>872</v>
      </c>
      <c r="D1912" s="75" t="s">
        <v>489</v>
      </c>
      <c r="E1912" s="75" t="str">
        <f t="shared" si="38"/>
        <v>০</v>
      </c>
      <c r="F1912" s="22" t="str">
        <f>"8119457812000"</f>
        <v>8119457812000</v>
      </c>
      <c r="G1912" s="75" t="str">
        <f>"১৩০৩০৬১৮০৮৭৫"</f>
        <v>১৩০৩০৬১৮০৮৭৫</v>
      </c>
      <c r="H1912" s="75" t="s">
        <v>322</v>
      </c>
      <c r="I1912" s="75" t="s">
        <v>322</v>
      </c>
      <c r="J1912" s="4"/>
    </row>
    <row r="1913" spans="1:10" x14ac:dyDescent="0.25">
      <c r="A1913" s="39">
        <v>1912</v>
      </c>
      <c r="B1913" s="3" t="s">
        <v>873</v>
      </c>
      <c r="C1913" s="75" t="s">
        <v>874</v>
      </c>
      <c r="D1913" s="75" t="s">
        <v>489</v>
      </c>
      <c r="E1913" s="75" t="str">
        <f t="shared" si="38"/>
        <v>০</v>
      </c>
      <c r="F1913" s="22" t="str">
        <f>"8119457812043"</f>
        <v>8119457812043</v>
      </c>
      <c r="G1913" s="75" t="str">
        <f>"১৩০৩০৬১৮০৮৭৪"</f>
        <v>১৩০৩০৬১৮০৮৭৪</v>
      </c>
      <c r="H1913" s="75" t="s">
        <v>346</v>
      </c>
      <c r="I1913" s="75" t="s">
        <v>346</v>
      </c>
      <c r="J1913" s="4"/>
    </row>
    <row r="1914" spans="1:10" x14ac:dyDescent="0.25">
      <c r="A1914" s="39">
        <v>1913</v>
      </c>
      <c r="B1914" s="3" t="s">
        <v>3018</v>
      </c>
      <c r="C1914" s="75" t="s">
        <v>875</v>
      </c>
      <c r="D1914" s="75" t="s">
        <v>489</v>
      </c>
      <c r="E1914" s="75" t="str">
        <f t="shared" si="38"/>
        <v>০</v>
      </c>
      <c r="F1914" s="22" t="str">
        <f>"8119457811939"</f>
        <v>8119457811939</v>
      </c>
      <c r="G1914" s="75" t="str">
        <f>"১৩০৩০৬১৮০৮৭৩"</f>
        <v>১৩০৩০৬১৮০৮৭৩</v>
      </c>
      <c r="H1914" s="75" t="s">
        <v>322</v>
      </c>
      <c r="I1914" s="75" t="s">
        <v>322</v>
      </c>
      <c r="J1914" s="4"/>
    </row>
    <row r="1915" spans="1:10" x14ac:dyDescent="0.25">
      <c r="A1915" s="39">
        <v>1914</v>
      </c>
      <c r="B1915" s="3" t="s">
        <v>3019</v>
      </c>
      <c r="C1915" s="75" t="s">
        <v>876</v>
      </c>
      <c r="D1915" s="75" t="s">
        <v>489</v>
      </c>
      <c r="E1915" s="75" t="str">
        <f t="shared" si="38"/>
        <v>০</v>
      </c>
      <c r="F1915" s="22" t="str">
        <f>"8119457812002"</f>
        <v>8119457812002</v>
      </c>
      <c r="G1915" s="75" t="str">
        <f>"১৩০৩০৬১৮০৮৭২"</f>
        <v>১৩০৩০৬১৮০৮৭২</v>
      </c>
      <c r="H1915" s="75" t="s">
        <v>322</v>
      </c>
      <c r="I1915" s="75" t="s">
        <v>322</v>
      </c>
      <c r="J1915" s="4"/>
    </row>
    <row r="1916" spans="1:10" x14ac:dyDescent="0.25">
      <c r="A1916" s="39">
        <v>1915</v>
      </c>
      <c r="B1916" s="3" t="s">
        <v>877</v>
      </c>
      <c r="C1916" s="75" t="s">
        <v>861</v>
      </c>
      <c r="D1916" s="75" t="s">
        <v>489</v>
      </c>
      <c r="E1916" s="75" t="str">
        <f t="shared" si="38"/>
        <v>০</v>
      </c>
      <c r="F1916" s="22" t="str">
        <f>"8119457811970"</f>
        <v>8119457811970</v>
      </c>
      <c r="G1916" s="75" t="str">
        <f>"১৩০৩০৬১৮০৮৭১"</f>
        <v>১৩০৩০৬১৮০৮৭১</v>
      </c>
      <c r="H1916" s="75" t="s">
        <v>322</v>
      </c>
      <c r="I1916" s="75" t="s">
        <v>322</v>
      </c>
      <c r="J1916" s="4"/>
    </row>
    <row r="1917" spans="1:10" x14ac:dyDescent="0.25">
      <c r="A1917" s="39">
        <v>1916</v>
      </c>
      <c r="B1917" s="3" t="s">
        <v>878</v>
      </c>
      <c r="C1917" s="75" t="s">
        <v>879</v>
      </c>
      <c r="D1917" s="75" t="s">
        <v>489</v>
      </c>
      <c r="E1917" s="75" t="str">
        <f t="shared" si="38"/>
        <v>০</v>
      </c>
      <c r="F1917" s="22" t="str">
        <f>"8119457811689"</f>
        <v>8119457811689</v>
      </c>
      <c r="G1917" s="75" t="str">
        <f>"১৩০৩০৬১৮০৮৭০"</f>
        <v>১৩০৩০৬১৮০৮৭০</v>
      </c>
      <c r="H1917" s="75" t="s">
        <v>322</v>
      </c>
      <c r="I1917" s="75" t="s">
        <v>322</v>
      </c>
      <c r="J1917" s="4"/>
    </row>
    <row r="1918" spans="1:10" x14ac:dyDescent="0.25">
      <c r="A1918" s="39">
        <v>1917</v>
      </c>
      <c r="B1918" s="3" t="s">
        <v>880</v>
      </c>
      <c r="C1918" s="75" t="s">
        <v>494</v>
      </c>
      <c r="D1918" s="75" t="s">
        <v>489</v>
      </c>
      <c r="E1918" s="75" t="str">
        <f t="shared" si="38"/>
        <v>০</v>
      </c>
      <c r="F1918" s="22" t="str">
        <f>"8119457811910"</f>
        <v>8119457811910</v>
      </c>
      <c r="G1918" s="75" t="str">
        <f>"১৩০৩০৬১৮০৮৬৯"</f>
        <v>১৩০৩০৬১৮০৮৬৯</v>
      </c>
      <c r="H1918" s="75" t="s">
        <v>322</v>
      </c>
      <c r="I1918" s="75" t="s">
        <v>322</v>
      </c>
      <c r="J1918" s="4"/>
    </row>
    <row r="1919" spans="1:10" x14ac:dyDescent="0.25">
      <c r="A1919" s="39">
        <v>1918</v>
      </c>
      <c r="B1919" s="3" t="s">
        <v>881</v>
      </c>
      <c r="C1919" s="75" t="s">
        <v>833</v>
      </c>
      <c r="D1919" s="75" t="s">
        <v>489</v>
      </c>
      <c r="E1919" s="75" t="str">
        <f t="shared" si="38"/>
        <v>০</v>
      </c>
      <c r="F1919" s="22" t="str">
        <f>"8119457811771"</f>
        <v>8119457811771</v>
      </c>
      <c r="G1919" s="75" t="str">
        <f>"১৩০৩০৬১৮০৮৬৮"</f>
        <v>১৩০৩০৬১৮০৮৬৮</v>
      </c>
      <c r="H1919" s="75" t="s">
        <v>456</v>
      </c>
      <c r="I1919" s="75" t="s">
        <v>456</v>
      </c>
      <c r="J1919" s="4"/>
    </row>
    <row r="1920" spans="1:10" x14ac:dyDescent="0.25">
      <c r="A1920" s="39">
        <v>1919</v>
      </c>
      <c r="B1920" s="3" t="s">
        <v>496</v>
      </c>
      <c r="C1920" s="75" t="s">
        <v>882</v>
      </c>
      <c r="D1920" s="75" t="s">
        <v>489</v>
      </c>
      <c r="E1920" s="75" t="str">
        <f t="shared" si="38"/>
        <v>০</v>
      </c>
      <c r="F1920" s="22" t="str">
        <f>"8119457000041"</f>
        <v>8119457000041</v>
      </c>
      <c r="G1920" s="75" t="str">
        <f>"১৩০৩০৬১৮০৮৬৭"</f>
        <v>১৩০৩০৬১৮০৮৬৭</v>
      </c>
      <c r="H1920" s="75" t="s">
        <v>385</v>
      </c>
      <c r="I1920" s="75" t="s">
        <v>385</v>
      </c>
      <c r="J1920" s="4"/>
    </row>
    <row r="1921" spans="1:10" x14ac:dyDescent="0.25">
      <c r="A1921" s="39">
        <v>1920</v>
      </c>
      <c r="B1921" s="3" t="s">
        <v>883</v>
      </c>
      <c r="C1921" s="75" t="s">
        <v>855</v>
      </c>
      <c r="D1921" s="75" t="s">
        <v>489</v>
      </c>
      <c r="E1921" s="75" t="str">
        <f t="shared" si="38"/>
        <v>০</v>
      </c>
      <c r="F1921" s="22" t="str">
        <f>"8119457811978"</f>
        <v>8119457811978</v>
      </c>
      <c r="G1921" s="75" t="str">
        <f>"১৩০৩০৬১৮০৮৬৬"</f>
        <v>১৩০৩০৬১৮০৮৬৬</v>
      </c>
      <c r="H1921" s="75" t="s">
        <v>376</v>
      </c>
      <c r="I1921" s="75" t="s">
        <v>376</v>
      </c>
      <c r="J1921" s="4"/>
    </row>
    <row r="1922" spans="1:10" x14ac:dyDescent="0.25">
      <c r="A1922" s="39">
        <v>1921</v>
      </c>
      <c r="B1922" s="3" t="s">
        <v>3020</v>
      </c>
      <c r="C1922" s="75" t="s">
        <v>876</v>
      </c>
      <c r="D1922" s="75" t="s">
        <v>489</v>
      </c>
      <c r="E1922" s="75" t="str">
        <f t="shared" si="38"/>
        <v>০</v>
      </c>
      <c r="F1922" s="22" t="str">
        <f>"8119457811706"</f>
        <v>8119457811706</v>
      </c>
      <c r="G1922" s="75" t="str">
        <f>"১৩০৩০৬১৮০৮৬৫"</f>
        <v>১৩০৩০৬১৮০৮৬৫</v>
      </c>
      <c r="H1922" s="75" t="s">
        <v>371</v>
      </c>
      <c r="I1922" s="75" t="s">
        <v>371</v>
      </c>
      <c r="J1922" s="4"/>
    </row>
    <row r="1923" spans="1:10" x14ac:dyDescent="0.25">
      <c r="A1923" s="39">
        <v>1922</v>
      </c>
      <c r="B1923" s="3" t="s">
        <v>3021</v>
      </c>
      <c r="C1923" s="75" t="s">
        <v>859</v>
      </c>
      <c r="D1923" s="75" t="s">
        <v>489</v>
      </c>
      <c r="E1923" s="75" t="str">
        <f t="shared" si="38"/>
        <v>০</v>
      </c>
      <c r="F1923" s="22" t="str">
        <f>"8119457811921"</f>
        <v>8119457811921</v>
      </c>
      <c r="G1923" s="75" t="str">
        <f>"১৩০৩০৬১৮০৮৬৪"</f>
        <v>১৩০৩০৬১৮০৮৬৪</v>
      </c>
      <c r="H1923" s="75" t="s">
        <v>346</v>
      </c>
      <c r="I1923" s="75" t="s">
        <v>346</v>
      </c>
      <c r="J1923" s="4"/>
    </row>
    <row r="1924" spans="1:10" x14ac:dyDescent="0.25">
      <c r="A1924" s="39">
        <v>1923</v>
      </c>
      <c r="B1924" s="3" t="s">
        <v>884</v>
      </c>
      <c r="C1924" s="75" t="s">
        <v>853</v>
      </c>
      <c r="D1924" s="75" t="s">
        <v>489</v>
      </c>
      <c r="E1924" s="75" t="str">
        <f t="shared" si="38"/>
        <v>০</v>
      </c>
      <c r="F1924" s="22" t="str">
        <f>"8119457811659"</f>
        <v>8119457811659</v>
      </c>
      <c r="G1924" s="75" t="str">
        <f>"১৩০৩০৬১৮০৮৬৩"</f>
        <v>১৩০৩০৬১৮০৮৬৩</v>
      </c>
      <c r="H1924" s="75" t="s">
        <v>322</v>
      </c>
      <c r="I1924" s="75" t="s">
        <v>322</v>
      </c>
      <c r="J1924" s="4"/>
    </row>
    <row r="1925" spans="1:10" x14ac:dyDescent="0.25">
      <c r="A1925" s="39">
        <v>1924</v>
      </c>
      <c r="B1925" s="3" t="s">
        <v>885</v>
      </c>
      <c r="C1925" s="75" t="s">
        <v>886</v>
      </c>
      <c r="D1925" s="75" t="s">
        <v>489</v>
      </c>
      <c r="E1925" s="75" t="str">
        <f t="shared" si="38"/>
        <v>০</v>
      </c>
      <c r="F1925" s="22" t="str">
        <f>"8119457811638"</f>
        <v>8119457811638</v>
      </c>
      <c r="G1925" s="75" t="str">
        <f>"১৩০৩০৬১৮০৮৬২"</f>
        <v>১৩০৩০৬১৮০৮৬২</v>
      </c>
      <c r="H1925" s="75" t="s">
        <v>385</v>
      </c>
      <c r="I1925" s="75" t="s">
        <v>385</v>
      </c>
      <c r="J1925" s="4"/>
    </row>
    <row r="1926" spans="1:10" x14ac:dyDescent="0.25">
      <c r="A1926" s="39">
        <v>1925</v>
      </c>
      <c r="B1926" s="3" t="s">
        <v>887</v>
      </c>
      <c r="C1926" s="75" t="s">
        <v>678</v>
      </c>
      <c r="D1926" s="75" t="s">
        <v>489</v>
      </c>
      <c r="E1926" s="75" t="str">
        <f t="shared" si="38"/>
        <v>০</v>
      </c>
      <c r="F1926" s="22" t="str">
        <f>"8119457000057"</f>
        <v>8119457000057</v>
      </c>
      <c r="G1926" s="75" t="str">
        <f>"১৩০৩০৬১৮০৮৬১"</f>
        <v>১৩০৩০৬১৮০৮৬১</v>
      </c>
      <c r="H1926" s="75" t="s">
        <v>322</v>
      </c>
      <c r="I1926" s="75" t="s">
        <v>322</v>
      </c>
      <c r="J1926" s="4"/>
    </row>
    <row r="1927" spans="1:10" x14ac:dyDescent="0.25">
      <c r="A1927" s="39">
        <v>1926</v>
      </c>
      <c r="B1927" s="3" t="s">
        <v>888</v>
      </c>
      <c r="C1927" s="75" t="s">
        <v>889</v>
      </c>
      <c r="D1927" s="75" t="s">
        <v>489</v>
      </c>
      <c r="E1927" s="75" t="str">
        <f t="shared" si="38"/>
        <v>০</v>
      </c>
      <c r="F1927" s="22" t="str">
        <f>"8119457811813"</f>
        <v>8119457811813</v>
      </c>
      <c r="G1927" s="75" t="str">
        <f>"১৩০৩০৬১৮০৮৬০"</f>
        <v>১৩০৩০৬১৮০৮৬০</v>
      </c>
      <c r="H1927" s="75" t="s">
        <v>362</v>
      </c>
      <c r="I1927" s="75" t="s">
        <v>362</v>
      </c>
      <c r="J1927" s="4"/>
    </row>
    <row r="1928" spans="1:10" x14ac:dyDescent="0.25">
      <c r="A1928" s="39">
        <v>1927</v>
      </c>
      <c r="B1928" s="3" t="s">
        <v>890</v>
      </c>
      <c r="C1928" s="75" t="s">
        <v>891</v>
      </c>
      <c r="D1928" s="75" t="s">
        <v>489</v>
      </c>
      <c r="E1928" s="75" t="str">
        <f t="shared" si="38"/>
        <v>০</v>
      </c>
      <c r="F1928" s="22" t="str">
        <f>"8119457811723"</f>
        <v>8119457811723</v>
      </c>
      <c r="G1928" s="75" t="str">
        <f>"১৩০৩০৬১৮০৮৫৯"</f>
        <v>১৩০৩০৬১৮০৮৫৯</v>
      </c>
      <c r="H1928" s="75" t="s">
        <v>385</v>
      </c>
      <c r="I1928" s="75" t="s">
        <v>385</v>
      </c>
      <c r="J1928" s="4"/>
    </row>
    <row r="1929" spans="1:10" x14ac:dyDescent="0.25">
      <c r="A1929" s="39">
        <v>1928</v>
      </c>
      <c r="B1929" s="3" t="s">
        <v>3022</v>
      </c>
      <c r="C1929" s="75" t="s">
        <v>892</v>
      </c>
      <c r="D1929" s="75" t="s">
        <v>489</v>
      </c>
      <c r="E1929" s="75" t="str">
        <f t="shared" si="38"/>
        <v>০</v>
      </c>
      <c r="F1929" s="22" t="str">
        <f>"8119457"</f>
        <v>8119457</v>
      </c>
      <c r="G1929" s="75" t="str">
        <f>"১৩০৩০৬১৮০৮৫৮"</f>
        <v>১৩০৩০৬১৮০৮৫৮</v>
      </c>
      <c r="H1929" s="75" t="s">
        <v>392</v>
      </c>
      <c r="I1929" s="75" t="s">
        <v>392</v>
      </c>
      <c r="J1929" s="4"/>
    </row>
    <row r="1930" spans="1:10" x14ac:dyDescent="0.25">
      <c r="A1930" s="39">
        <v>1929</v>
      </c>
      <c r="B1930" s="3" t="s">
        <v>893</v>
      </c>
      <c r="C1930" s="75" t="s">
        <v>894</v>
      </c>
      <c r="D1930" s="75" t="s">
        <v>489</v>
      </c>
      <c r="E1930" s="75" t="str">
        <f t="shared" si="38"/>
        <v>০</v>
      </c>
      <c r="F1930" s="22" t="str">
        <f>"8119457812006"</f>
        <v>8119457812006</v>
      </c>
      <c r="G1930" s="75" t="str">
        <f>"১৩০৩০৬১৮০৮৫৭"</f>
        <v>১৩০৩০৬১৮০৮৫৭</v>
      </c>
      <c r="H1930" s="75" t="s">
        <v>316</v>
      </c>
      <c r="I1930" s="75" t="s">
        <v>316</v>
      </c>
      <c r="J1930" s="4"/>
    </row>
    <row r="1931" spans="1:10" x14ac:dyDescent="0.25">
      <c r="A1931" s="39">
        <v>1930</v>
      </c>
      <c r="B1931" s="3" t="s">
        <v>895</v>
      </c>
      <c r="C1931" s="75" t="s">
        <v>896</v>
      </c>
      <c r="D1931" s="75" t="s">
        <v>489</v>
      </c>
      <c r="E1931" s="75" t="str">
        <f t="shared" si="38"/>
        <v>০</v>
      </c>
      <c r="F1931" s="22" t="str">
        <f>"8119457811676"</f>
        <v>8119457811676</v>
      </c>
      <c r="G1931" s="75" t="str">
        <f>"১৩০৩০৬১৮০৮৫৬"</f>
        <v>১৩০৩০৬১৮০৮৫৬</v>
      </c>
      <c r="H1931" s="75" t="s">
        <v>346</v>
      </c>
      <c r="I1931" s="75" t="s">
        <v>346</v>
      </c>
      <c r="J1931" s="4"/>
    </row>
    <row r="1932" spans="1:10" x14ac:dyDescent="0.25">
      <c r="A1932" s="39">
        <v>1931</v>
      </c>
      <c r="B1932" s="3" t="s">
        <v>380</v>
      </c>
      <c r="C1932" s="75" t="s">
        <v>897</v>
      </c>
      <c r="D1932" s="75" t="s">
        <v>489</v>
      </c>
      <c r="E1932" s="75" t="str">
        <f t="shared" si="38"/>
        <v>০</v>
      </c>
      <c r="F1932" s="22" t="str">
        <f>"8119457711993"</f>
        <v>8119457711993</v>
      </c>
      <c r="G1932" s="75" t="str">
        <f>"১৩০৩০৬১৮০৮৫৫"</f>
        <v>১৩০৩০৬১৮০৮৫৫</v>
      </c>
      <c r="H1932" s="75" t="s">
        <v>349</v>
      </c>
      <c r="I1932" s="75" t="s">
        <v>349</v>
      </c>
      <c r="J1932" s="4"/>
    </row>
    <row r="1933" spans="1:10" x14ac:dyDescent="0.25">
      <c r="A1933" s="39">
        <v>1932</v>
      </c>
      <c r="B1933" s="3" t="s">
        <v>898</v>
      </c>
      <c r="C1933" s="75" t="s">
        <v>619</v>
      </c>
      <c r="D1933" s="75" t="s">
        <v>489</v>
      </c>
      <c r="E1933" s="75" t="str">
        <f t="shared" si="38"/>
        <v>০</v>
      </c>
      <c r="F1933" s="22" t="str">
        <f>"8119457811975"</f>
        <v>8119457811975</v>
      </c>
      <c r="G1933" s="75" t="str">
        <f>"১৩০৩০৬১৮০৮৫৪"</f>
        <v>১৩০৩০৬১৮০৮৫৪</v>
      </c>
      <c r="H1933" s="75" t="s">
        <v>346</v>
      </c>
      <c r="I1933" s="75" t="s">
        <v>346</v>
      </c>
      <c r="J1933" s="4"/>
    </row>
    <row r="1934" spans="1:10" x14ac:dyDescent="0.25">
      <c r="A1934" s="39">
        <v>1933</v>
      </c>
      <c r="B1934" s="3" t="s">
        <v>899</v>
      </c>
      <c r="C1934" s="75" t="s">
        <v>900</v>
      </c>
      <c r="D1934" s="75" t="s">
        <v>489</v>
      </c>
      <c r="E1934" s="75" t="str">
        <f t="shared" si="38"/>
        <v>০</v>
      </c>
      <c r="F1934" s="22" t="str">
        <f>"8119457811626"</f>
        <v>8119457811626</v>
      </c>
      <c r="G1934" s="75" t="str">
        <f>"১৩০৩০৬১৮০৮৫৩"</f>
        <v>১৩০৩০৬১৮০৮৫৩</v>
      </c>
      <c r="H1934" s="75" t="s">
        <v>322</v>
      </c>
      <c r="I1934" s="75" t="s">
        <v>322</v>
      </c>
      <c r="J1934" s="4"/>
    </row>
    <row r="1935" spans="1:10" x14ac:dyDescent="0.25">
      <c r="A1935" s="39">
        <v>1934</v>
      </c>
      <c r="B1935" s="3" t="s">
        <v>3023</v>
      </c>
      <c r="C1935" s="75" t="s">
        <v>901</v>
      </c>
      <c r="D1935" s="75" t="s">
        <v>489</v>
      </c>
      <c r="E1935" s="75" t="str">
        <f t="shared" si="38"/>
        <v>০</v>
      </c>
      <c r="F1935" s="22" t="str">
        <f>"8119457811697"</f>
        <v>8119457811697</v>
      </c>
      <c r="G1935" s="75" t="str">
        <f>"১৩০৩০৬১৮০৮৫২"</f>
        <v>১৩০৩০৬১৮০৮৫২</v>
      </c>
      <c r="H1935" s="75" t="s">
        <v>322</v>
      </c>
      <c r="I1935" s="75" t="s">
        <v>322</v>
      </c>
      <c r="J1935" s="4"/>
    </row>
    <row r="1936" spans="1:10" x14ac:dyDescent="0.25">
      <c r="A1936" s="39">
        <v>1935</v>
      </c>
      <c r="B1936" s="3" t="s">
        <v>902</v>
      </c>
      <c r="C1936" s="75" t="s">
        <v>891</v>
      </c>
      <c r="D1936" s="75" t="s">
        <v>489</v>
      </c>
      <c r="E1936" s="75" t="str">
        <f t="shared" si="38"/>
        <v>০</v>
      </c>
      <c r="F1936" s="22" t="str">
        <f>"8119457811882"</f>
        <v>8119457811882</v>
      </c>
      <c r="G1936" s="75" t="str">
        <f>"১৩০৩০৬১৮০৮৫১"</f>
        <v>১৩০৩০৬১৮০৮৫১</v>
      </c>
      <c r="H1936" s="75" t="s">
        <v>346</v>
      </c>
      <c r="I1936" s="75" t="s">
        <v>346</v>
      </c>
      <c r="J1936" s="4"/>
    </row>
    <row r="1937" spans="1:10" x14ac:dyDescent="0.25">
      <c r="A1937" s="39">
        <v>1936</v>
      </c>
      <c r="B1937" s="3" t="s">
        <v>891</v>
      </c>
      <c r="C1937" s="75" t="s">
        <v>903</v>
      </c>
      <c r="D1937" s="75" t="s">
        <v>489</v>
      </c>
      <c r="E1937" s="75" t="str">
        <f t="shared" si="38"/>
        <v>০</v>
      </c>
      <c r="F1937" s="22" t="str">
        <f>"8119457811880"</f>
        <v>8119457811880</v>
      </c>
      <c r="G1937" s="75" t="str">
        <f>"১৩০৩০৬১৮০৮৫০"</f>
        <v>১৩০৩০৬১৮০৮৫০</v>
      </c>
      <c r="H1937" s="75" t="s">
        <v>357</v>
      </c>
      <c r="I1937" s="75" t="s">
        <v>357</v>
      </c>
      <c r="J1937" s="4"/>
    </row>
    <row r="1938" spans="1:10" x14ac:dyDescent="0.25">
      <c r="A1938" s="39">
        <v>1937</v>
      </c>
      <c r="B1938" s="3" t="s">
        <v>576</v>
      </c>
      <c r="C1938" s="75" t="s">
        <v>3024</v>
      </c>
      <c r="D1938" s="75" t="s">
        <v>489</v>
      </c>
      <c r="E1938" s="75" t="str">
        <f t="shared" si="38"/>
        <v>০</v>
      </c>
      <c r="F1938" s="22" t="str">
        <f>"8119457811680"</f>
        <v>8119457811680</v>
      </c>
      <c r="G1938" s="75" t="str">
        <f>"১৩০৩০৬১৮০৮৪৯"</f>
        <v>১৩০৩০৬১৮০৮৪৯</v>
      </c>
      <c r="H1938" s="75" t="s">
        <v>322</v>
      </c>
      <c r="I1938" s="75" t="s">
        <v>322</v>
      </c>
      <c r="J1938" s="4"/>
    </row>
    <row r="1939" spans="1:10" x14ac:dyDescent="0.25">
      <c r="A1939" s="39">
        <v>1938</v>
      </c>
      <c r="B1939" s="3" t="s">
        <v>904</v>
      </c>
      <c r="C1939" s="75" t="s">
        <v>903</v>
      </c>
      <c r="D1939" s="75" t="s">
        <v>489</v>
      </c>
      <c r="E1939" s="75" t="str">
        <f t="shared" si="38"/>
        <v>০</v>
      </c>
      <c r="F1939" s="22" t="str">
        <f>"8119457811873"</f>
        <v>8119457811873</v>
      </c>
      <c r="G1939" s="75" t="str">
        <f>"১৩০৩০৬১৮০৮৪৮"</f>
        <v>১৩০৩০৬১৮০৮৪৮</v>
      </c>
      <c r="H1939" s="75" t="s">
        <v>362</v>
      </c>
      <c r="I1939" s="75" t="s">
        <v>362</v>
      </c>
      <c r="J1939" s="4"/>
    </row>
    <row r="1940" spans="1:10" x14ac:dyDescent="0.25">
      <c r="A1940" s="39">
        <v>1939</v>
      </c>
      <c r="B1940" s="3" t="s">
        <v>1859</v>
      </c>
      <c r="C1940" s="75" t="s">
        <v>3025</v>
      </c>
      <c r="D1940" s="75" t="s">
        <v>489</v>
      </c>
      <c r="E1940" s="75" t="str">
        <f>"০১৭৪৬-০৭৬৬৬৪"</f>
        <v>০১৭৪৬-০৭৬৬৬৪</v>
      </c>
      <c r="F1940" s="22" t="str">
        <f>"8119457811812"</f>
        <v>8119457811812</v>
      </c>
      <c r="G1940" s="75" t="str">
        <f>"১৩০৩০৬১৮০৮৪৭"</f>
        <v>১৩০৩০৬১৮০৮৪৭</v>
      </c>
      <c r="H1940" s="75" t="s">
        <v>364</v>
      </c>
      <c r="I1940" s="75" t="s">
        <v>364</v>
      </c>
      <c r="J1940" s="4"/>
    </row>
    <row r="1941" spans="1:10" x14ac:dyDescent="0.25">
      <c r="A1941" s="39">
        <v>1940</v>
      </c>
      <c r="B1941" s="3" t="s">
        <v>194</v>
      </c>
      <c r="C1941" s="75" t="s">
        <v>905</v>
      </c>
      <c r="D1941" s="75" t="s">
        <v>489</v>
      </c>
      <c r="E1941" s="75" t="str">
        <f t="shared" ref="E1941:E1986" si="39">"০"</f>
        <v>০</v>
      </c>
      <c r="F1941" s="22" t="str">
        <f>"8119457811858"</f>
        <v>8119457811858</v>
      </c>
      <c r="G1941" s="75" t="str">
        <f>"১৩০৩০৬১৮০৮৪৬"</f>
        <v>১৩০৩০৬১৮০৮৪৬</v>
      </c>
      <c r="H1941" s="75" t="s">
        <v>322</v>
      </c>
      <c r="I1941" s="75" t="s">
        <v>322</v>
      </c>
      <c r="J1941" s="4"/>
    </row>
    <row r="1942" spans="1:10" x14ac:dyDescent="0.25">
      <c r="A1942" s="39">
        <v>1941</v>
      </c>
      <c r="B1942" s="3" t="s">
        <v>1782</v>
      </c>
      <c r="C1942" s="75" t="s">
        <v>906</v>
      </c>
      <c r="D1942" s="75" t="s">
        <v>489</v>
      </c>
      <c r="E1942" s="75" t="str">
        <f t="shared" si="39"/>
        <v>০</v>
      </c>
      <c r="F1942" s="22" t="str">
        <f>"8119457000002"</f>
        <v>8119457000002</v>
      </c>
      <c r="G1942" s="75" t="str">
        <f>"১৩০৩০৬১৮০৮৪৫"</f>
        <v>১৩০৩০৬১৮০৮৪৫</v>
      </c>
      <c r="H1942" s="75" t="s">
        <v>349</v>
      </c>
      <c r="I1942" s="75" t="s">
        <v>349</v>
      </c>
      <c r="J1942" s="4"/>
    </row>
    <row r="1943" spans="1:10" x14ac:dyDescent="0.25">
      <c r="A1943" s="39">
        <v>1942</v>
      </c>
      <c r="B1943" s="3" t="s">
        <v>3026</v>
      </c>
      <c r="C1943" s="75" t="s">
        <v>907</v>
      </c>
      <c r="D1943" s="75" t="s">
        <v>489</v>
      </c>
      <c r="E1943" s="75" t="str">
        <f t="shared" si="39"/>
        <v>০</v>
      </c>
      <c r="F1943" s="22" t="str">
        <f>"8119457811644"</f>
        <v>8119457811644</v>
      </c>
      <c r="G1943" s="75" t="str">
        <f>"১৩০৩০৬১৮০৮৪৪"</f>
        <v>১৩০৩০৬১৮০৮৪৪</v>
      </c>
      <c r="H1943" s="75" t="s">
        <v>371</v>
      </c>
      <c r="I1943" s="75" t="s">
        <v>371</v>
      </c>
      <c r="J1943" s="4"/>
    </row>
    <row r="1944" spans="1:10" x14ac:dyDescent="0.25">
      <c r="A1944" s="39">
        <v>1943</v>
      </c>
      <c r="B1944" s="3" t="s">
        <v>908</v>
      </c>
      <c r="C1944" s="75" t="s">
        <v>909</v>
      </c>
      <c r="D1944" s="75" t="s">
        <v>489</v>
      </c>
      <c r="E1944" s="75" t="str">
        <f t="shared" si="39"/>
        <v>০</v>
      </c>
      <c r="F1944" s="22" t="str">
        <f>"8119457811700"</f>
        <v>8119457811700</v>
      </c>
      <c r="G1944" s="75" t="str">
        <f>"১৩০৩০৬১৮০৮৪৩"</f>
        <v>১৩০৩০৬১৮০৮৪৩</v>
      </c>
      <c r="H1944" s="75" t="s">
        <v>323</v>
      </c>
      <c r="I1944" s="75" t="s">
        <v>323</v>
      </c>
      <c r="J1944" s="4"/>
    </row>
    <row r="1945" spans="1:10" x14ac:dyDescent="0.25">
      <c r="A1945" s="39">
        <v>1944</v>
      </c>
      <c r="B1945" s="3" t="s">
        <v>910</v>
      </c>
      <c r="C1945" s="75" t="s">
        <v>911</v>
      </c>
      <c r="D1945" s="75" t="s">
        <v>489</v>
      </c>
      <c r="E1945" s="75" t="str">
        <f t="shared" si="39"/>
        <v>০</v>
      </c>
      <c r="F1945" s="22" t="str">
        <f>"8119457811795"</f>
        <v>8119457811795</v>
      </c>
      <c r="G1945" s="75" t="str">
        <f>"১৩০৩০৬১৮০৮৪২"</f>
        <v>১৩০৩০৬১৮০৮৪২</v>
      </c>
      <c r="H1945" s="75" t="s">
        <v>376</v>
      </c>
      <c r="I1945" s="75" t="s">
        <v>376</v>
      </c>
      <c r="J1945" s="4"/>
    </row>
    <row r="1946" spans="1:10" x14ac:dyDescent="0.25">
      <c r="A1946" s="39">
        <v>1945</v>
      </c>
      <c r="B1946" s="3" t="s">
        <v>912</v>
      </c>
      <c r="C1946" s="75" t="s">
        <v>881</v>
      </c>
      <c r="D1946" s="75" t="s">
        <v>489</v>
      </c>
      <c r="E1946" s="75" t="str">
        <f t="shared" si="39"/>
        <v>০</v>
      </c>
      <c r="F1946" s="22" t="str">
        <f>"8119457811988"</f>
        <v>8119457811988</v>
      </c>
      <c r="G1946" s="75" t="str">
        <f>"১৩০৩০৬১৮০৮৪১"</f>
        <v>১৩০৩০৬১৮০৮৪১</v>
      </c>
      <c r="H1946" s="75" t="s">
        <v>371</v>
      </c>
      <c r="I1946" s="75" t="s">
        <v>371</v>
      </c>
      <c r="J1946" s="4"/>
    </row>
    <row r="1947" spans="1:10" x14ac:dyDescent="0.25">
      <c r="A1947" s="39">
        <v>1946</v>
      </c>
      <c r="B1947" s="3" t="s">
        <v>591</v>
      </c>
      <c r="C1947" s="75" t="s">
        <v>913</v>
      </c>
      <c r="D1947" s="75" t="s">
        <v>489</v>
      </c>
      <c r="E1947" s="75" t="str">
        <f t="shared" si="39"/>
        <v>০</v>
      </c>
      <c r="F1947" s="22" t="str">
        <f>"8119457811660"</f>
        <v>8119457811660</v>
      </c>
      <c r="G1947" s="75" t="str">
        <f>"১৩০৩০৬১৮০৮৪০"</f>
        <v>১৩০৩০৬১৮০৮৪০</v>
      </c>
      <c r="H1947" s="75" t="s">
        <v>362</v>
      </c>
      <c r="I1947" s="75" t="s">
        <v>362</v>
      </c>
      <c r="J1947" s="4"/>
    </row>
    <row r="1948" spans="1:10" x14ac:dyDescent="0.25">
      <c r="A1948" s="39">
        <v>1947</v>
      </c>
      <c r="B1948" s="3" t="s">
        <v>914</v>
      </c>
      <c r="C1948" s="75" t="s">
        <v>881</v>
      </c>
      <c r="D1948" s="75" t="s">
        <v>489</v>
      </c>
      <c r="E1948" s="75" t="str">
        <f t="shared" si="39"/>
        <v>০</v>
      </c>
      <c r="F1948" s="22" t="str">
        <f>"8119457811901"</f>
        <v>8119457811901</v>
      </c>
      <c r="G1948" s="75" t="str">
        <f>"১৩০৩০৬১৮০৮৩৯"</f>
        <v>১৩০৩০৬১৮০৮৩৯</v>
      </c>
      <c r="H1948" s="75" t="s">
        <v>376</v>
      </c>
      <c r="I1948" s="75" t="s">
        <v>376</v>
      </c>
      <c r="J1948" s="4"/>
    </row>
    <row r="1949" spans="1:10" x14ac:dyDescent="0.25">
      <c r="A1949" s="39">
        <v>1948</v>
      </c>
      <c r="B1949" s="3" t="s">
        <v>913</v>
      </c>
      <c r="C1949" s="75" t="s">
        <v>915</v>
      </c>
      <c r="D1949" s="75" t="s">
        <v>489</v>
      </c>
      <c r="E1949" s="75" t="str">
        <f t="shared" si="39"/>
        <v>০</v>
      </c>
      <c r="F1949" s="22" t="str">
        <f>"8119457811661"</f>
        <v>8119457811661</v>
      </c>
      <c r="G1949" s="75" t="str">
        <f>"১৩০৩০৬১৮০৮৩৮"</f>
        <v>১৩০৩০৬১৮০৮৩৮</v>
      </c>
      <c r="H1949" s="75" t="s">
        <v>385</v>
      </c>
      <c r="I1949" s="75" t="s">
        <v>385</v>
      </c>
      <c r="J1949" s="4"/>
    </row>
    <row r="1950" spans="1:10" x14ac:dyDescent="0.25">
      <c r="A1950" s="39">
        <v>1949</v>
      </c>
      <c r="B1950" s="3" t="s">
        <v>916</v>
      </c>
      <c r="C1950" s="75" t="s">
        <v>917</v>
      </c>
      <c r="D1950" s="75" t="s">
        <v>489</v>
      </c>
      <c r="E1950" s="75" t="str">
        <f t="shared" si="39"/>
        <v>০</v>
      </c>
      <c r="F1950" s="22" t="str">
        <f>"8119457811783"</f>
        <v>8119457811783</v>
      </c>
      <c r="G1950" s="75" t="str">
        <f>"১৩০৩০৬১৮০৮৩৭"</f>
        <v>১৩০৩০৬১৮০৮৩৭</v>
      </c>
      <c r="H1950" s="75" t="s">
        <v>371</v>
      </c>
      <c r="I1950" s="75" t="s">
        <v>371</v>
      </c>
      <c r="J1950" s="4"/>
    </row>
    <row r="1951" spans="1:10" x14ac:dyDescent="0.25">
      <c r="A1951" s="39">
        <v>1950</v>
      </c>
      <c r="B1951" s="3" t="s">
        <v>918</v>
      </c>
      <c r="C1951" s="75" t="s">
        <v>919</v>
      </c>
      <c r="D1951" s="75" t="s">
        <v>489</v>
      </c>
      <c r="E1951" s="75" t="str">
        <f t="shared" si="39"/>
        <v>০</v>
      </c>
      <c r="F1951" s="22" t="str">
        <f>"8119457811752"</f>
        <v>8119457811752</v>
      </c>
      <c r="G1951" s="75" t="str">
        <f>"১৩০৩০৬১৮০৮৩৬"</f>
        <v>১৩০৩০৬১৮০৮৩৬</v>
      </c>
      <c r="H1951" s="75" t="s">
        <v>371</v>
      </c>
      <c r="I1951" s="75" t="s">
        <v>371</v>
      </c>
      <c r="J1951" s="4"/>
    </row>
    <row r="1952" spans="1:10" x14ac:dyDescent="0.25">
      <c r="A1952" s="39">
        <v>1951</v>
      </c>
      <c r="B1952" s="3" t="s">
        <v>920</v>
      </c>
      <c r="C1952" s="75" t="s">
        <v>921</v>
      </c>
      <c r="D1952" s="75" t="s">
        <v>489</v>
      </c>
      <c r="E1952" s="75" t="str">
        <f t="shared" si="39"/>
        <v>০</v>
      </c>
      <c r="F1952" s="22" t="str">
        <f>"8119457811621"</f>
        <v>8119457811621</v>
      </c>
      <c r="G1952" s="75" t="str">
        <f>"১৩০৩০৬১৮০৮৩৫"</f>
        <v>১৩০৩০৬১৮০৮৩৫</v>
      </c>
      <c r="H1952" s="75" t="s">
        <v>346</v>
      </c>
      <c r="I1952" s="75" t="s">
        <v>346</v>
      </c>
      <c r="J1952" s="4"/>
    </row>
    <row r="1953" spans="1:10" x14ac:dyDescent="0.25">
      <c r="A1953" s="39">
        <v>1952</v>
      </c>
      <c r="B1953" s="3" t="s">
        <v>922</v>
      </c>
      <c r="C1953" s="75" t="s">
        <v>923</v>
      </c>
      <c r="D1953" s="75" t="s">
        <v>489</v>
      </c>
      <c r="E1953" s="75" t="str">
        <f t="shared" si="39"/>
        <v>০</v>
      </c>
      <c r="F1953" s="22" t="str">
        <f>"8119457811726"</f>
        <v>8119457811726</v>
      </c>
      <c r="G1953" s="75" t="str">
        <f>"১৩০৩০৬১৮০৮৩৪"</f>
        <v>১৩০৩০৬১৮০৮৩৪</v>
      </c>
      <c r="H1953" s="75" t="s">
        <v>322</v>
      </c>
      <c r="I1953" s="75" t="s">
        <v>322</v>
      </c>
      <c r="J1953" s="4"/>
    </row>
    <row r="1954" spans="1:10" x14ac:dyDescent="0.25">
      <c r="A1954" s="39">
        <v>1953</v>
      </c>
      <c r="B1954" s="3" t="s">
        <v>3027</v>
      </c>
      <c r="C1954" s="75" t="s">
        <v>874</v>
      </c>
      <c r="D1954" s="75" t="s">
        <v>489</v>
      </c>
      <c r="E1954" s="75" t="str">
        <f t="shared" si="39"/>
        <v>০</v>
      </c>
      <c r="F1954" s="22" t="str">
        <f>"8119457812048"</f>
        <v>8119457812048</v>
      </c>
      <c r="G1954" s="75" t="str">
        <f>"১৩০৩০৬১৮০৮৩৩"</f>
        <v>১৩০৩০৬১৮০৮৩৩</v>
      </c>
      <c r="H1954" s="75" t="s">
        <v>322</v>
      </c>
      <c r="I1954" s="75" t="s">
        <v>322</v>
      </c>
      <c r="J1954" s="4"/>
    </row>
    <row r="1955" spans="1:10" x14ac:dyDescent="0.25">
      <c r="A1955" s="39">
        <v>1954</v>
      </c>
      <c r="B1955" s="3" t="s">
        <v>924</v>
      </c>
      <c r="C1955" s="75" t="s">
        <v>925</v>
      </c>
      <c r="D1955" s="75" t="s">
        <v>489</v>
      </c>
      <c r="E1955" s="75" t="str">
        <f t="shared" si="39"/>
        <v>০</v>
      </c>
      <c r="F1955" s="22" t="str">
        <f>"8119457811965"</f>
        <v>8119457811965</v>
      </c>
      <c r="G1955" s="75" t="str">
        <f>"১৩০৩০৬১৮০৮৩২"</f>
        <v>১৩০৩০৬১৮০৮৩২</v>
      </c>
      <c r="H1955" s="75" t="s">
        <v>376</v>
      </c>
      <c r="I1955" s="75" t="s">
        <v>376</v>
      </c>
      <c r="J1955" s="4"/>
    </row>
    <row r="1956" spans="1:10" x14ac:dyDescent="0.25">
      <c r="A1956" s="39">
        <v>1955</v>
      </c>
      <c r="B1956" s="3" t="s">
        <v>926</v>
      </c>
      <c r="C1956" s="75" t="s">
        <v>927</v>
      </c>
      <c r="D1956" s="75" t="s">
        <v>489</v>
      </c>
      <c r="E1956" s="75" t="str">
        <f t="shared" si="39"/>
        <v>০</v>
      </c>
      <c r="F1956" s="22" t="str">
        <f>"8119457811927"</f>
        <v>8119457811927</v>
      </c>
      <c r="G1956" s="75" t="str">
        <f>"১৩০৩০৬১৮০৮৩১"</f>
        <v>১৩০৩০৬১৮০৮৩১</v>
      </c>
      <c r="H1956" s="75" t="s">
        <v>371</v>
      </c>
      <c r="I1956" s="75" t="s">
        <v>371</v>
      </c>
      <c r="J1956" s="4"/>
    </row>
    <row r="1957" spans="1:10" x14ac:dyDescent="0.25">
      <c r="A1957" s="39">
        <v>1956</v>
      </c>
      <c r="B1957" s="3" t="s">
        <v>928</v>
      </c>
      <c r="C1957" s="75" t="s">
        <v>907</v>
      </c>
      <c r="D1957" s="75" t="s">
        <v>489</v>
      </c>
      <c r="E1957" s="75" t="str">
        <f t="shared" si="39"/>
        <v>০</v>
      </c>
      <c r="F1957" s="22" t="str">
        <f>"8119457811642"</f>
        <v>8119457811642</v>
      </c>
      <c r="G1957" s="75" t="str">
        <f>"১৩০৩০৬১৮০৮৩০"</f>
        <v>১৩০৩০৬১৮০৮৩০</v>
      </c>
      <c r="H1957" s="75" t="s">
        <v>392</v>
      </c>
      <c r="I1957" s="75" t="s">
        <v>392</v>
      </c>
      <c r="J1957" s="4"/>
    </row>
    <row r="1958" spans="1:10" x14ac:dyDescent="0.25">
      <c r="A1958" s="39">
        <v>1957</v>
      </c>
      <c r="B1958" s="3" t="s">
        <v>929</v>
      </c>
      <c r="C1958" s="75" t="s">
        <v>930</v>
      </c>
      <c r="D1958" s="75" t="s">
        <v>489</v>
      </c>
      <c r="E1958" s="75" t="str">
        <f t="shared" si="39"/>
        <v>০</v>
      </c>
      <c r="F1958" s="22" t="str">
        <f>"8119457812022"</f>
        <v>8119457812022</v>
      </c>
      <c r="G1958" s="75" t="str">
        <f>"১৩০৩০৬১৮০৮২৯"</f>
        <v>১৩০৩০৬১৮০৮২৯</v>
      </c>
      <c r="H1958" s="75" t="s">
        <v>393</v>
      </c>
      <c r="I1958" s="75" t="s">
        <v>393</v>
      </c>
      <c r="J1958" s="4"/>
    </row>
    <row r="1959" spans="1:10" x14ac:dyDescent="0.25">
      <c r="A1959" s="39">
        <v>1958</v>
      </c>
      <c r="B1959" s="3" t="s">
        <v>931</v>
      </c>
      <c r="C1959" s="75" t="s">
        <v>932</v>
      </c>
      <c r="D1959" s="75" t="s">
        <v>489</v>
      </c>
      <c r="E1959" s="75" t="str">
        <f t="shared" si="39"/>
        <v>০</v>
      </c>
      <c r="F1959" s="22" t="str">
        <f>"8119457811947"</f>
        <v>8119457811947</v>
      </c>
      <c r="G1959" s="75" t="str">
        <f>"১৩০৩০৬১৮০৮২৮"</f>
        <v>১৩০৩০৬১৮০৮২৮</v>
      </c>
      <c r="H1959" s="75" t="s">
        <v>362</v>
      </c>
      <c r="I1959" s="75" t="s">
        <v>362</v>
      </c>
      <c r="J1959" s="4"/>
    </row>
    <row r="1960" spans="1:10" x14ac:dyDescent="0.25">
      <c r="A1960" s="39">
        <v>1959</v>
      </c>
      <c r="B1960" s="3" t="s">
        <v>3028</v>
      </c>
      <c r="C1960" s="75" t="s">
        <v>933</v>
      </c>
      <c r="D1960" s="75" t="s">
        <v>489</v>
      </c>
      <c r="E1960" s="75" t="str">
        <f t="shared" si="39"/>
        <v>০</v>
      </c>
      <c r="F1960" s="22" t="str">
        <f>"8119457811883"</f>
        <v>8119457811883</v>
      </c>
      <c r="G1960" s="75" t="str">
        <f>"১৩০৩০৬১৮০৮২৭"</f>
        <v>১৩০৩০৬১৮০৮২৭</v>
      </c>
      <c r="H1960" s="75" t="s">
        <v>322</v>
      </c>
      <c r="I1960" s="75" t="s">
        <v>322</v>
      </c>
      <c r="J1960" s="4"/>
    </row>
    <row r="1961" spans="1:10" x14ac:dyDescent="0.25">
      <c r="A1961" s="39">
        <v>1960</v>
      </c>
      <c r="B1961" s="3" t="s">
        <v>2416</v>
      </c>
      <c r="C1961" s="75" t="s">
        <v>3029</v>
      </c>
      <c r="D1961" s="75" t="s">
        <v>489</v>
      </c>
      <c r="E1961" s="75" t="str">
        <f t="shared" si="39"/>
        <v>০</v>
      </c>
      <c r="F1961" s="22" t="str">
        <f>"8119457811744"</f>
        <v>8119457811744</v>
      </c>
      <c r="G1961" s="75" t="str">
        <f>"১৩০৩০৬১৮০৮২৬"</f>
        <v>১৩০৩০৬১৮০৮২৬</v>
      </c>
      <c r="H1961" s="75" t="s">
        <v>392</v>
      </c>
      <c r="I1961" s="75" t="s">
        <v>392</v>
      </c>
      <c r="J1961" s="4"/>
    </row>
    <row r="1962" spans="1:10" x14ac:dyDescent="0.25">
      <c r="A1962" s="39">
        <v>1961</v>
      </c>
      <c r="B1962" s="3" t="s">
        <v>934</v>
      </c>
      <c r="C1962" s="75" t="s">
        <v>874</v>
      </c>
      <c r="D1962" s="75" t="s">
        <v>489</v>
      </c>
      <c r="E1962" s="75" t="str">
        <f t="shared" si="39"/>
        <v>০</v>
      </c>
      <c r="F1962" s="22" t="str">
        <f>"8119457812046"</f>
        <v>8119457812046</v>
      </c>
      <c r="G1962" s="75" t="str">
        <f>"১৩০৩০৬১৮০৮২৫"</f>
        <v>১৩০৩০৬১৮০৮২৫</v>
      </c>
      <c r="H1962" s="75" t="s">
        <v>321</v>
      </c>
      <c r="I1962" s="75" t="s">
        <v>321</v>
      </c>
      <c r="J1962" s="4"/>
    </row>
    <row r="1963" spans="1:10" x14ac:dyDescent="0.25">
      <c r="A1963" s="39">
        <v>1962</v>
      </c>
      <c r="B1963" s="3" t="s">
        <v>930</v>
      </c>
      <c r="C1963" s="75" t="s">
        <v>935</v>
      </c>
      <c r="D1963" s="75" t="s">
        <v>489</v>
      </c>
      <c r="E1963" s="75" t="str">
        <f t="shared" si="39"/>
        <v>০</v>
      </c>
      <c r="F1963" s="22" t="str">
        <f>"8119457812024"</f>
        <v>8119457812024</v>
      </c>
      <c r="G1963" s="75" t="str">
        <f>"১৩০৩০৬১৮০৮২৪"</f>
        <v>১৩০৩০৬১৮০৮২৪</v>
      </c>
      <c r="H1963" s="75" t="s">
        <v>371</v>
      </c>
      <c r="I1963" s="75" t="s">
        <v>371</v>
      </c>
      <c r="J1963" s="4"/>
    </row>
    <row r="1964" spans="1:10" x14ac:dyDescent="0.25">
      <c r="A1964" s="39">
        <v>1963</v>
      </c>
      <c r="B1964" s="3" t="s">
        <v>3030</v>
      </c>
      <c r="C1964" s="75" t="s">
        <v>936</v>
      </c>
      <c r="D1964" s="75" t="s">
        <v>489</v>
      </c>
      <c r="E1964" s="75" t="str">
        <f t="shared" si="39"/>
        <v>০</v>
      </c>
      <c r="F1964" s="22" t="str">
        <f>"8119457811736"</f>
        <v>8119457811736</v>
      </c>
      <c r="G1964" s="75" t="str">
        <f>"১৩০৩০৬১৮০৮২৩"</f>
        <v>১৩০৩০৬১৮০৮২৩</v>
      </c>
      <c r="H1964" s="75" t="s">
        <v>323</v>
      </c>
      <c r="I1964" s="75" t="s">
        <v>323</v>
      </c>
      <c r="J1964" s="4"/>
    </row>
    <row r="1965" spans="1:10" x14ac:dyDescent="0.25">
      <c r="A1965" s="39">
        <v>1964</v>
      </c>
      <c r="B1965" s="3" t="s">
        <v>3031</v>
      </c>
      <c r="C1965" s="75" t="s">
        <v>937</v>
      </c>
      <c r="D1965" s="75" t="s">
        <v>489</v>
      </c>
      <c r="E1965" s="75" t="str">
        <f t="shared" si="39"/>
        <v>০</v>
      </c>
      <c r="F1965" s="22" t="str">
        <f>"8119457811737"</f>
        <v>8119457811737</v>
      </c>
      <c r="G1965" s="75" t="str">
        <f>"১৩০৩০৬১৮০৮২২"</f>
        <v>১৩০৩০৬১৮০৮২২</v>
      </c>
      <c r="H1965" s="75" t="s">
        <v>323</v>
      </c>
      <c r="I1965" s="75" t="s">
        <v>323</v>
      </c>
      <c r="J1965" s="4"/>
    </row>
    <row r="1966" spans="1:10" x14ac:dyDescent="0.25">
      <c r="A1966" s="39">
        <v>1965</v>
      </c>
      <c r="B1966" s="3" t="s">
        <v>938</v>
      </c>
      <c r="C1966" s="75" t="s">
        <v>936</v>
      </c>
      <c r="D1966" s="75" t="s">
        <v>489</v>
      </c>
      <c r="E1966" s="75" t="str">
        <f t="shared" si="39"/>
        <v>০</v>
      </c>
      <c r="F1966" s="22" t="str">
        <f>"8119457811705"</f>
        <v>8119457811705</v>
      </c>
      <c r="G1966" s="75" t="str">
        <f>"১৩০৩০৬১৮০৮২১"</f>
        <v>১৩০৩০৬১৮০৮২১</v>
      </c>
      <c r="H1966" s="75" t="s">
        <v>404</v>
      </c>
      <c r="I1966" s="75" t="s">
        <v>404</v>
      </c>
      <c r="J1966" s="4"/>
    </row>
    <row r="1967" spans="1:10" x14ac:dyDescent="0.25">
      <c r="A1967" s="39">
        <v>1966</v>
      </c>
      <c r="B1967" s="3" t="s">
        <v>939</v>
      </c>
      <c r="C1967" s="75" t="s">
        <v>940</v>
      </c>
      <c r="D1967" s="75" t="s">
        <v>489</v>
      </c>
      <c r="E1967" s="75" t="str">
        <f t="shared" si="39"/>
        <v>০</v>
      </c>
      <c r="F1967" s="22" t="str">
        <f>"8119457811871"</f>
        <v>8119457811871</v>
      </c>
      <c r="G1967" s="75" t="str">
        <f>"১৩০৩০৬১৮০৮২০"</f>
        <v>১৩০৩০৬১৮০৮২০</v>
      </c>
      <c r="H1967" s="75" t="s">
        <v>362</v>
      </c>
      <c r="I1967" s="75" t="s">
        <v>362</v>
      </c>
      <c r="J1967" s="4"/>
    </row>
    <row r="1968" spans="1:10" x14ac:dyDescent="0.25">
      <c r="A1968" s="39">
        <v>1967</v>
      </c>
      <c r="B1968" s="3" t="s">
        <v>941</v>
      </c>
      <c r="C1968" s="75" t="s">
        <v>942</v>
      </c>
      <c r="D1968" s="75" t="s">
        <v>489</v>
      </c>
      <c r="E1968" s="75" t="str">
        <f t="shared" si="39"/>
        <v>০</v>
      </c>
      <c r="F1968" s="22" t="str">
        <f>"8119457811619"</f>
        <v>8119457811619</v>
      </c>
      <c r="G1968" s="75" t="str">
        <f>"১৩০৩০৬১৮০৮১৯"</f>
        <v>১৩০৩০৬১৮০৮১৯</v>
      </c>
      <c r="H1968" s="75" t="s">
        <v>407</v>
      </c>
      <c r="I1968" s="75" t="s">
        <v>407</v>
      </c>
      <c r="J1968" s="4"/>
    </row>
    <row r="1969" spans="1:10" x14ac:dyDescent="0.25">
      <c r="A1969" s="39">
        <v>1968</v>
      </c>
      <c r="B1969" s="3" t="s">
        <v>802</v>
      </c>
      <c r="C1969" s="75" t="s">
        <v>3032</v>
      </c>
      <c r="D1969" s="75" t="s">
        <v>489</v>
      </c>
      <c r="E1969" s="75" t="str">
        <f t="shared" si="39"/>
        <v>০</v>
      </c>
      <c r="F1969" s="22" t="str">
        <f>"8119457810008"</f>
        <v>8119457810008</v>
      </c>
      <c r="G1969" s="75" t="str">
        <f>"১৩০৩০৬১৮০৮১৮"</f>
        <v>১৩০৩০৬১৮০৮১৮</v>
      </c>
      <c r="H1969" s="75" t="s">
        <v>371</v>
      </c>
      <c r="I1969" s="75" t="s">
        <v>371</v>
      </c>
      <c r="J1969" s="4"/>
    </row>
    <row r="1970" spans="1:10" x14ac:dyDescent="0.25">
      <c r="A1970" s="39">
        <v>1969</v>
      </c>
      <c r="B1970" s="3" t="s">
        <v>2972</v>
      </c>
      <c r="C1970" s="75" t="s">
        <v>943</v>
      </c>
      <c r="D1970" s="75" t="s">
        <v>489</v>
      </c>
      <c r="E1970" s="75" t="str">
        <f t="shared" si="39"/>
        <v>০</v>
      </c>
      <c r="F1970" s="22" t="str">
        <f>"8119457811889"</f>
        <v>8119457811889</v>
      </c>
      <c r="G1970" s="75" t="str">
        <f>"১৩০৩০৬১৮০৮১৭"</f>
        <v>১৩০৩০৬১৮০৮১৭</v>
      </c>
      <c r="H1970" s="75" t="s">
        <v>376</v>
      </c>
      <c r="I1970" s="75" t="s">
        <v>376</v>
      </c>
      <c r="J1970" s="4"/>
    </row>
    <row r="1971" spans="1:10" x14ac:dyDescent="0.25">
      <c r="A1971" s="39">
        <v>1970</v>
      </c>
      <c r="B1971" s="3" t="s">
        <v>1557</v>
      </c>
      <c r="C1971" s="75" t="s">
        <v>833</v>
      </c>
      <c r="D1971" s="75" t="s">
        <v>489</v>
      </c>
      <c r="E1971" s="75" t="str">
        <f t="shared" si="39"/>
        <v>০</v>
      </c>
      <c r="F1971" s="22" t="str">
        <f>"8119457811843"</f>
        <v>8119457811843</v>
      </c>
      <c r="G1971" s="75" t="str">
        <f>"১৩০৩০৬১৮০৮১৬"</f>
        <v>১৩০৩০৬১৮০৮১৬</v>
      </c>
      <c r="H1971" s="75" t="s">
        <v>322</v>
      </c>
      <c r="I1971" s="75" t="s">
        <v>322</v>
      </c>
      <c r="J1971" s="4"/>
    </row>
    <row r="1972" spans="1:10" x14ac:dyDescent="0.25">
      <c r="A1972" s="39">
        <v>1971</v>
      </c>
      <c r="B1972" s="3" t="s">
        <v>351</v>
      </c>
      <c r="C1972" s="75" t="s">
        <v>944</v>
      </c>
      <c r="D1972" s="75" t="s">
        <v>489</v>
      </c>
      <c r="E1972" s="75" t="str">
        <f t="shared" si="39"/>
        <v>০</v>
      </c>
      <c r="F1972" s="22" t="str">
        <f>"8119457812051"</f>
        <v>8119457812051</v>
      </c>
      <c r="G1972" s="75" t="str">
        <f>"১৩০৩০৬১৮০৮১৫"</f>
        <v>১৩০৩০৬১৮০৮১৫</v>
      </c>
      <c r="H1972" s="75" t="s">
        <v>371</v>
      </c>
      <c r="I1972" s="75" t="s">
        <v>371</v>
      </c>
      <c r="J1972" s="4"/>
    </row>
    <row r="1973" spans="1:10" x14ac:dyDescent="0.25">
      <c r="A1973" s="39">
        <v>1972</v>
      </c>
      <c r="B1973" s="3" t="s">
        <v>945</v>
      </c>
      <c r="C1973" s="75" t="s">
        <v>946</v>
      </c>
      <c r="D1973" s="75" t="s">
        <v>489</v>
      </c>
      <c r="E1973" s="75" t="str">
        <f t="shared" si="39"/>
        <v>০</v>
      </c>
      <c r="F1973" s="22" t="str">
        <f>"8119457811958"</f>
        <v>8119457811958</v>
      </c>
      <c r="G1973" s="75" t="str">
        <f>"১৩০৩০৬১৮০৮১৪"</f>
        <v>১৩০৩০৬১৮০৮১৪</v>
      </c>
      <c r="H1973" s="75" t="s">
        <v>362</v>
      </c>
      <c r="I1973" s="75" t="s">
        <v>362</v>
      </c>
      <c r="J1973" s="4"/>
    </row>
    <row r="1974" spans="1:10" x14ac:dyDescent="0.25">
      <c r="A1974" s="39">
        <v>1973</v>
      </c>
      <c r="B1974" s="3" t="s">
        <v>3033</v>
      </c>
      <c r="C1974" s="75" t="s">
        <v>875</v>
      </c>
      <c r="D1974" s="75" t="s">
        <v>489</v>
      </c>
      <c r="E1974" s="75" t="str">
        <f t="shared" si="39"/>
        <v>০</v>
      </c>
      <c r="F1974" s="22" t="str">
        <f>"8119457811943"</f>
        <v>8119457811943</v>
      </c>
      <c r="G1974" s="75" t="str">
        <f>"১৩০৩০৬১৮০৮১৩"</f>
        <v>১৩০৩০৬১৮০৮১৩</v>
      </c>
      <c r="H1974" s="75" t="s">
        <v>371</v>
      </c>
      <c r="I1974" s="75" t="s">
        <v>371</v>
      </c>
      <c r="J1974" s="4"/>
    </row>
    <row r="1975" spans="1:10" x14ac:dyDescent="0.25">
      <c r="A1975" s="39">
        <v>1974</v>
      </c>
      <c r="B1975" s="3" t="s">
        <v>3034</v>
      </c>
      <c r="C1975" s="75" t="s">
        <v>3035</v>
      </c>
      <c r="D1975" s="75" t="s">
        <v>489</v>
      </c>
      <c r="E1975" s="75" t="str">
        <f t="shared" si="39"/>
        <v>০</v>
      </c>
      <c r="F1975" s="22" t="str">
        <f>"8119457811994"</f>
        <v>8119457811994</v>
      </c>
      <c r="G1975" s="75" t="str">
        <f>"১৩০৩০৬১৮০৮১২"</f>
        <v>১৩০৩০৬১৮০৮১২</v>
      </c>
      <c r="H1975" s="75" t="s">
        <v>346</v>
      </c>
      <c r="I1975" s="75" t="s">
        <v>346</v>
      </c>
      <c r="J1975" s="4"/>
    </row>
    <row r="1976" spans="1:10" x14ac:dyDescent="0.25">
      <c r="A1976" s="39">
        <v>1975</v>
      </c>
      <c r="B1976" s="3" t="s">
        <v>947</v>
      </c>
      <c r="C1976" s="75" t="s">
        <v>948</v>
      </c>
      <c r="D1976" s="75" t="s">
        <v>489</v>
      </c>
      <c r="E1976" s="75" t="str">
        <f t="shared" si="39"/>
        <v>০</v>
      </c>
      <c r="F1976" s="22" t="str">
        <f>"8119457811694"</f>
        <v>8119457811694</v>
      </c>
      <c r="G1976" s="75" t="str">
        <f>"১৩০৩০৬১৮০৮১১"</f>
        <v>১৩০৩০৬১৮০৮১১</v>
      </c>
      <c r="H1976" s="75" t="s">
        <v>371</v>
      </c>
      <c r="I1976" s="75" t="s">
        <v>371</v>
      </c>
      <c r="J1976" s="4"/>
    </row>
    <row r="1977" spans="1:10" x14ac:dyDescent="0.25">
      <c r="A1977" s="39">
        <v>1976</v>
      </c>
      <c r="B1977" s="3" t="s">
        <v>2107</v>
      </c>
      <c r="C1977" s="75" t="s">
        <v>948</v>
      </c>
      <c r="D1977" s="75" t="s">
        <v>489</v>
      </c>
      <c r="E1977" s="75" t="str">
        <f t="shared" si="39"/>
        <v>০</v>
      </c>
      <c r="F1977" s="22" t="str">
        <f>"8119457811973"</f>
        <v>8119457811973</v>
      </c>
      <c r="G1977" s="75" t="str">
        <f>"১৩০৩০৬১৮০৮১০"</f>
        <v>১৩০৩০৬১৮০৮১০</v>
      </c>
      <c r="H1977" s="75" t="s">
        <v>323</v>
      </c>
      <c r="I1977" s="75" t="s">
        <v>323</v>
      </c>
      <c r="J1977" s="4"/>
    </row>
    <row r="1978" spans="1:10" x14ac:dyDescent="0.25">
      <c r="A1978" s="39">
        <v>1977</v>
      </c>
      <c r="B1978" s="3" t="s">
        <v>3036</v>
      </c>
      <c r="C1978" s="75" t="s">
        <v>948</v>
      </c>
      <c r="D1978" s="75" t="s">
        <v>489</v>
      </c>
      <c r="E1978" s="75" t="str">
        <f t="shared" si="39"/>
        <v>০</v>
      </c>
      <c r="F1978" s="22" t="str">
        <f>"8119457811692"</f>
        <v>8119457811692</v>
      </c>
      <c r="G1978" s="75" t="str">
        <f>"১৩০৩০৬১৮০৮০৯"</f>
        <v>১৩০৩০৬১৮০৮০৯</v>
      </c>
      <c r="H1978" s="75" t="s">
        <v>322</v>
      </c>
      <c r="I1978" s="75" t="s">
        <v>322</v>
      </c>
      <c r="J1978" s="4"/>
    </row>
    <row r="1979" spans="1:10" x14ac:dyDescent="0.25">
      <c r="A1979" s="39">
        <v>1978</v>
      </c>
      <c r="B1979" s="3" t="s">
        <v>949</v>
      </c>
      <c r="C1979" s="75" t="s">
        <v>950</v>
      </c>
      <c r="D1979" s="75" t="s">
        <v>489</v>
      </c>
      <c r="E1979" s="75" t="str">
        <f t="shared" si="39"/>
        <v>০</v>
      </c>
      <c r="F1979" s="22" t="str">
        <f>"8119457000073"</f>
        <v>8119457000073</v>
      </c>
      <c r="G1979" s="75" t="str">
        <f>"১৩০৩০৬১৮০৮০৮"</f>
        <v>১৩০৩০৬১৮০৮০৮</v>
      </c>
      <c r="H1979" s="75" t="s">
        <v>357</v>
      </c>
      <c r="I1979" s="75" t="s">
        <v>357</v>
      </c>
      <c r="J1979" s="4"/>
    </row>
    <row r="1980" spans="1:10" x14ac:dyDescent="0.25">
      <c r="A1980" s="39">
        <v>1979</v>
      </c>
      <c r="B1980" s="3" t="s">
        <v>951</v>
      </c>
      <c r="C1980" s="75" t="s">
        <v>580</v>
      </c>
      <c r="D1980" s="75" t="s">
        <v>489</v>
      </c>
      <c r="E1980" s="75" t="str">
        <f t="shared" si="39"/>
        <v>০</v>
      </c>
      <c r="F1980" s="22" t="str">
        <f>"8119457811623"</f>
        <v>8119457811623</v>
      </c>
      <c r="G1980" s="75" t="str">
        <f>"১৩০৩০৬১৮০৮০৭"</f>
        <v>১৩০৩০৬১৮০৮০৭</v>
      </c>
      <c r="H1980" s="75" t="s">
        <v>323</v>
      </c>
      <c r="I1980" s="75" t="s">
        <v>323</v>
      </c>
      <c r="J1980" s="4"/>
    </row>
    <row r="1981" spans="1:10" x14ac:dyDescent="0.25">
      <c r="A1981" s="39">
        <v>1980</v>
      </c>
      <c r="B1981" s="3" t="s">
        <v>952</v>
      </c>
      <c r="C1981" s="75" t="s">
        <v>916</v>
      </c>
      <c r="D1981" s="75" t="s">
        <v>489</v>
      </c>
      <c r="E1981" s="75" t="str">
        <f t="shared" si="39"/>
        <v>০</v>
      </c>
      <c r="F1981" s="22" t="str">
        <f>"8119457811883"</f>
        <v>8119457811883</v>
      </c>
      <c r="G1981" s="75" t="str">
        <f>"১৩০৩০৬১৮০৮০৬"</f>
        <v>১৩০৩০৬১৮০৮০৬</v>
      </c>
      <c r="H1981" s="75" t="s">
        <v>362</v>
      </c>
      <c r="I1981" s="75" t="s">
        <v>362</v>
      </c>
      <c r="J1981" s="4"/>
    </row>
    <row r="1982" spans="1:10" x14ac:dyDescent="0.25">
      <c r="A1982" s="39">
        <v>1981</v>
      </c>
      <c r="B1982" s="3" t="s">
        <v>953</v>
      </c>
      <c r="C1982" s="75" t="s">
        <v>954</v>
      </c>
      <c r="D1982" s="75" t="s">
        <v>489</v>
      </c>
      <c r="E1982" s="75" t="str">
        <f t="shared" si="39"/>
        <v>০</v>
      </c>
      <c r="F1982" s="22" t="str">
        <f>"8119457811690"</f>
        <v>8119457811690</v>
      </c>
      <c r="G1982" s="75" t="str">
        <f>"১৩০৩০৬১৮০৮০৫"</f>
        <v>১৩০৩০৬১৮০৮০৫</v>
      </c>
      <c r="H1982" s="75" t="s">
        <v>420</v>
      </c>
      <c r="I1982" s="75" t="s">
        <v>420</v>
      </c>
      <c r="J1982" s="4"/>
    </row>
    <row r="1983" spans="1:10" x14ac:dyDescent="0.25">
      <c r="A1983" s="39">
        <v>1982</v>
      </c>
      <c r="B1983" s="3" t="s">
        <v>955</v>
      </c>
      <c r="C1983" s="75" t="s">
        <v>956</v>
      </c>
      <c r="D1983" s="75" t="s">
        <v>489</v>
      </c>
      <c r="E1983" s="75" t="str">
        <f t="shared" si="39"/>
        <v>০</v>
      </c>
      <c r="F1983" s="22" t="str">
        <f>"8119457811962"</f>
        <v>8119457811962</v>
      </c>
      <c r="G1983" s="75" t="str">
        <f>"১৩০৩০৬১৮০৮০৪"</f>
        <v>১৩০৩০৬১৮০৮০৪</v>
      </c>
      <c r="H1983" s="75" t="s">
        <v>371</v>
      </c>
      <c r="I1983" s="75" t="s">
        <v>371</v>
      </c>
      <c r="J1983" s="4"/>
    </row>
    <row r="1984" spans="1:10" x14ac:dyDescent="0.25">
      <c r="A1984" s="39">
        <v>1983</v>
      </c>
      <c r="B1984" s="3" t="s">
        <v>2666</v>
      </c>
      <c r="C1984" s="75" t="s">
        <v>957</v>
      </c>
      <c r="D1984" s="75" t="s">
        <v>489</v>
      </c>
      <c r="E1984" s="75" t="str">
        <f t="shared" si="39"/>
        <v>০</v>
      </c>
      <c r="F1984" s="22" t="str">
        <f>"8119457811778"</f>
        <v>8119457811778</v>
      </c>
      <c r="G1984" s="75" t="str">
        <f>"১৩০৩০৬১৮০৮০৩"</f>
        <v>১৩০৩০৬১৮০৮০৩</v>
      </c>
      <c r="H1984" s="75" t="s">
        <v>346</v>
      </c>
      <c r="I1984" s="75" t="s">
        <v>346</v>
      </c>
      <c r="J1984" s="4"/>
    </row>
    <row r="1985" spans="1:10" x14ac:dyDescent="0.25">
      <c r="A1985" s="39">
        <v>1984</v>
      </c>
      <c r="B1985" s="3" t="s">
        <v>958</v>
      </c>
      <c r="C1985" s="75" t="s">
        <v>959</v>
      </c>
      <c r="D1985" s="75" t="s">
        <v>489</v>
      </c>
      <c r="E1985" s="75" t="str">
        <f t="shared" si="39"/>
        <v>০</v>
      </c>
      <c r="F1985" s="22" t="str">
        <f>"8119457811776"</f>
        <v>8119457811776</v>
      </c>
      <c r="G1985" s="75" t="str">
        <f>"১৩০৩০৬১৮০৮০২"</f>
        <v>১৩০৩০৬১৮০৮০২</v>
      </c>
      <c r="H1985" s="75" t="s">
        <v>357</v>
      </c>
      <c r="I1985" s="75" t="s">
        <v>357</v>
      </c>
      <c r="J1985" s="4"/>
    </row>
    <row r="1986" spans="1:10" x14ac:dyDescent="0.25">
      <c r="A1986" s="39">
        <v>1985</v>
      </c>
      <c r="B1986" s="3" t="s">
        <v>3037</v>
      </c>
      <c r="C1986" s="75" t="s">
        <v>3038</v>
      </c>
      <c r="D1986" s="75" t="s">
        <v>489</v>
      </c>
      <c r="E1986" s="75" t="str">
        <f t="shared" si="39"/>
        <v>০</v>
      </c>
      <c r="F1986" s="22" t="str">
        <f>"8119457811721"</f>
        <v>8119457811721</v>
      </c>
      <c r="G1986" s="75" t="str">
        <f>"১৩০৩০৬১৮০৮০১"</f>
        <v>১৩০৩০৬১৮০৮০১</v>
      </c>
      <c r="H1986" s="75" t="s">
        <v>322</v>
      </c>
      <c r="I1986" s="75" t="s">
        <v>322</v>
      </c>
      <c r="J1986" s="4"/>
    </row>
    <row r="1987" spans="1:10" x14ac:dyDescent="0.25">
      <c r="A1987" s="39">
        <v>1986</v>
      </c>
      <c r="B1987" s="3" t="s">
        <v>2556</v>
      </c>
      <c r="C1987" s="75" t="s">
        <v>3039</v>
      </c>
      <c r="D1987" s="75" t="s">
        <v>489</v>
      </c>
      <c r="E1987" s="75" t="str">
        <f>"০১৭১০-২৪৪৩১৪"</f>
        <v>০১৭১০-২৪৪৩১৪</v>
      </c>
      <c r="F1987" s="22" t="str">
        <f>"8119457811728"</f>
        <v>8119457811728</v>
      </c>
      <c r="G1987" s="75" t="str">
        <f>"১৩০৩০৬১৮০৮০০"</f>
        <v>১৩০৩০৬১৮০৮০০</v>
      </c>
      <c r="H1987" s="75" t="s">
        <v>321</v>
      </c>
      <c r="I1987" s="75" t="s">
        <v>321</v>
      </c>
      <c r="J1987" s="4"/>
    </row>
    <row r="1988" spans="1:10" x14ac:dyDescent="0.25">
      <c r="A1988" s="39">
        <v>1987</v>
      </c>
      <c r="B1988" s="3" t="s">
        <v>468</v>
      </c>
      <c r="C1988" s="75" t="s">
        <v>469</v>
      </c>
      <c r="D1988" s="75" t="s">
        <v>466</v>
      </c>
      <c r="E1988" s="75" t="str">
        <f t="shared" ref="E1988:E2051" si="40">"০"</f>
        <v>০</v>
      </c>
      <c r="F1988" s="22" t="str">
        <f>"8119457000237"</f>
        <v>8119457000237</v>
      </c>
      <c r="G1988" s="75" t="str">
        <f>"১৩০৩০৬১৮১২৫২"</f>
        <v>১৩০৩০৬১৮১২৫২</v>
      </c>
      <c r="H1988" s="75" t="s">
        <v>371</v>
      </c>
      <c r="I1988" s="75" t="s">
        <v>371</v>
      </c>
      <c r="J1988" s="4"/>
    </row>
    <row r="1989" spans="1:10" x14ac:dyDescent="0.25">
      <c r="A1989" s="39">
        <v>1988</v>
      </c>
      <c r="B1989" s="3" t="s">
        <v>470</v>
      </c>
      <c r="C1989" s="75" t="s">
        <v>471</v>
      </c>
      <c r="D1989" s="75" t="s">
        <v>466</v>
      </c>
      <c r="E1989" s="75" t="str">
        <f t="shared" si="40"/>
        <v>০</v>
      </c>
      <c r="F1989" s="22" t="str">
        <f>"8119457810700"</f>
        <v>8119457810700</v>
      </c>
      <c r="G1989" s="75" t="str">
        <f>"১৩০৩০৬১৮১২৫১"</f>
        <v>১৩০৩০৬১৮১২৫১</v>
      </c>
      <c r="H1989" s="75" t="s">
        <v>424</v>
      </c>
      <c r="I1989" s="75" t="s">
        <v>424</v>
      </c>
      <c r="J1989" s="4"/>
    </row>
    <row r="1990" spans="1:10" x14ac:dyDescent="0.25">
      <c r="A1990" s="39">
        <v>1989</v>
      </c>
      <c r="B1990" s="3" t="s">
        <v>473</v>
      </c>
      <c r="C1990" s="75" t="s">
        <v>471</v>
      </c>
      <c r="D1990" s="75" t="s">
        <v>466</v>
      </c>
      <c r="E1990" s="75" t="str">
        <f t="shared" si="40"/>
        <v>০</v>
      </c>
      <c r="F1990" s="22" t="str">
        <f>"81194578110801"</f>
        <v>81194578110801</v>
      </c>
      <c r="G1990" s="75" t="str">
        <f>"১৩০৩০৬১৮১২০০"</f>
        <v>১৩০৩০৬১৮১২০০</v>
      </c>
      <c r="H1990" s="75" t="s">
        <v>425</v>
      </c>
      <c r="I1990" s="75" t="s">
        <v>425</v>
      </c>
      <c r="J1990" s="4"/>
    </row>
    <row r="1991" spans="1:10" x14ac:dyDescent="0.25">
      <c r="A1991" s="39">
        <v>1990</v>
      </c>
      <c r="B1991" s="3" t="s">
        <v>2943</v>
      </c>
      <c r="C1991" s="75" t="s">
        <v>474</v>
      </c>
      <c r="D1991" s="75" t="s">
        <v>466</v>
      </c>
      <c r="E1991" s="75" t="str">
        <f t="shared" si="40"/>
        <v>০</v>
      </c>
      <c r="F1991" s="22" t="str">
        <f>"8119457007288"</f>
        <v>8119457007288</v>
      </c>
      <c r="G1991" s="75" t="str">
        <f>"১৩০৩০৬১৮১০১২"</f>
        <v>১৩০৩০৬১৮১০১২</v>
      </c>
      <c r="H1991" s="75" t="s">
        <v>424</v>
      </c>
      <c r="I1991" s="75" t="s">
        <v>424</v>
      </c>
      <c r="J1991" s="4"/>
    </row>
    <row r="1992" spans="1:10" x14ac:dyDescent="0.25">
      <c r="A1992" s="39">
        <v>1991</v>
      </c>
      <c r="B1992" s="3" t="s">
        <v>475</v>
      </c>
      <c r="C1992" s="75" t="s">
        <v>2933</v>
      </c>
      <c r="D1992" s="75" t="s">
        <v>466</v>
      </c>
      <c r="E1992" s="75" t="str">
        <f t="shared" si="40"/>
        <v>০</v>
      </c>
      <c r="F1992" s="22" t="str">
        <f>"8119457812418"</f>
        <v>8119457812418</v>
      </c>
      <c r="G1992" s="75" t="str">
        <f>"১৩০৩০৬১৮১০১১"</f>
        <v>১৩০৩০৬১৮১০১১</v>
      </c>
      <c r="H1992" s="75" t="s">
        <v>323</v>
      </c>
      <c r="I1992" s="75" t="s">
        <v>323</v>
      </c>
      <c r="J1992" s="4"/>
    </row>
    <row r="1993" spans="1:10" x14ac:dyDescent="0.25">
      <c r="A1993" s="39">
        <v>1992</v>
      </c>
      <c r="B1993" s="3" t="s">
        <v>476</v>
      </c>
      <c r="C1993" s="75" t="s">
        <v>477</v>
      </c>
      <c r="D1993" s="75" t="s">
        <v>466</v>
      </c>
      <c r="E1993" s="75" t="str">
        <f t="shared" si="40"/>
        <v>০</v>
      </c>
      <c r="F1993" s="22" t="str">
        <f>"8119457000004"</f>
        <v>8119457000004</v>
      </c>
      <c r="G1993" s="75" t="str">
        <f>"১৩০৩০৬১৮১০১০"</f>
        <v>১৩০৩০৬১৮১০১০</v>
      </c>
      <c r="H1993" s="75" t="s">
        <v>319</v>
      </c>
      <c r="I1993" s="75" t="s">
        <v>319</v>
      </c>
      <c r="J1993" s="4"/>
    </row>
    <row r="1994" spans="1:10" x14ac:dyDescent="0.25">
      <c r="A1994" s="39">
        <v>1993</v>
      </c>
      <c r="B1994" s="3" t="s">
        <v>478</v>
      </c>
      <c r="C1994" s="75" t="s">
        <v>479</v>
      </c>
      <c r="D1994" s="75" t="s">
        <v>466</v>
      </c>
      <c r="E1994" s="75" t="str">
        <f t="shared" si="40"/>
        <v>০</v>
      </c>
      <c r="F1994" s="22" t="str">
        <f>"8119457810902"</f>
        <v>8119457810902</v>
      </c>
      <c r="G1994" s="75" t="str">
        <f>"১৩০৩০৬১৮১০০৯"</f>
        <v>১৩০৩০৬১৮১০০৯</v>
      </c>
      <c r="H1994" s="75" t="s">
        <v>346</v>
      </c>
      <c r="I1994" s="75" t="s">
        <v>346</v>
      </c>
      <c r="J1994" s="4"/>
    </row>
    <row r="1995" spans="1:10" x14ac:dyDescent="0.25">
      <c r="A1995" s="39">
        <v>1994</v>
      </c>
      <c r="B1995" s="3" t="s">
        <v>480</v>
      </c>
      <c r="C1995" s="75" t="s">
        <v>481</v>
      </c>
      <c r="D1995" s="75" t="s">
        <v>466</v>
      </c>
      <c r="E1995" s="75" t="str">
        <f t="shared" si="40"/>
        <v>০</v>
      </c>
      <c r="F1995" s="22" t="str">
        <f>"81194578110544"</f>
        <v>81194578110544</v>
      </c>
      <c r="G1995" s="75" t="str">
        <f>"১৩০৩০৬১৮১০০৮"</f>
        <v>১৩০৩০৬১৮১০০৮</v>
      </c>
      <c r="H1995" s="75" t="s">
        <v>346</v>
      </c>
      <c r="I1995" s="75" t="s">
        <v>346</v>
      </c>
      <c r="J1995" s="4"/>
    </row>
    <row r="1996" spans="1:10" x14ac:dyDescent="0.25">
      <c r="A1996" s="39">
        <v>1995</v>
      </c>
      <c r="B1996" s="3" t="s">
        <v>482</v>
      </c>
      <c r="C1996" s="75" t="s">
        <v>525</v>
      </c>
      <c r="D1996" s="75" t="s">
        <v>466</v>
      </c>
      <c r="E1996" s="75" t="str">
        <f t="shared" si="40"/>
        <v>০</v>
      </c>
      <c r="F1996" s="22" t="str">
        <f>"8119457810760"</f>
        <v>8119457810760</v>
      </c>
      <c r="G1996" s="75" t="str">
        <f>"১৩০৩০৬১৮১০০৭"</f>
        <v>১৩০৩০৬১৮১০০৭</v>
      </c>
      <c r="H1996" s="75" t="s">
        <v>371</v>
      </c>
      <c r="I1996" s="75" t="s">
        <v>371</v>
      </c>
      <c r="J1996" s="4"/>
    </row>
    <row r="1997" spans="1:10" x14ac:dyDescent="0.25">
      <c r="A1997" s="39">
        <v>1996</v>
      </c>
      <c r="B1997" s="3" t="s">
        <v>960</v>
      </c>
      <c r="C1997" s="75" t="s">
        <v>485</v>
      </c>
      <c r="D1997" s="75" t="s">
        <v>466</v>
      </c>
      <c r="E1997" s="75" t="str">
        <f t="shared" si="40"/>
        <v>০</v>
      </c>
      <c r="F1997" s="22" t="str">
        <f>"8119457810622"</f>
        <v>8119457810622</v>
      </c>
      <c r="G1997" s="75" t="str">
        <f>"১৩০৩০৬১৮১০০৬"</f>
        <v>১৩০৩০৬১৮১০০৬</v>
      </c>
      <c r="H1997" s="75" t="s">
        <v>323</v>
      </c>
      <c r="I1997" s="75" t="s">
        <v>323</v>
      </c>
      <c r="J1997" s="4"/>
    </row>
    <row r="1998" spans="1:10" x14ac:dyDescent="0.25">
      <c r="A1998" s="39">
        <v>1997</v>
      </c>
      <c r="B1998" s="3" t="s">
        <v>961</v>
      </c>
      <c r="C1998" s="75"/>
      <c r="D1998" s="75" t="s">
        <v>466</v>
      </c>
      <c r="E1998" s="75" t="str">
        <f t="shared" si="40"/>
        <v>০</v>
      </c>
      <c r="F1998" s="22" t="str">
        <f>"8119457810991"</f>
        <v>8119457810991</v>
      </c>
      <c r="G1998" s="75" t="str">
        <f>"১৩০৩০৬১৮১০০৫"</f>
        <v>১৩০৩০৬১৮১০০৫</v>
      </c>
      <c r="H1998" s="75" t="s">
        <v>321</v>
      </c>
      <c r="I1998" s="75" t="s">
        <v>321</v>
      </c>
      <c r="J1998" s="4"/>
    </row>
    <row r="1999" spans="1:10" x14ac:dyDescent="0.25">
      <c r="A1999" s="39">
        <v>1998</v>
      </c>
      <c r="B1999" s="3" t="s">
        <v>962</v>
      </c>
      <c r="C1999" s="75" t="s">
        <v>963</v>
      </c>
      <c r="D1999" s="75" t="s">
        <v>466</v>
      </c>
      <c r="E1999" s="75" t="str">
        <f t="shared" si="40"/>
        <v>০</v>
      </c>
      <c r="F1999" s="22" t="str">
        <f>"8119457810726"</f>
        <v>8119457810726</v>
      </c>
      <c r="G1999" s="75" t="str">
        <f>"১৩০৩০৬১৮১০০৪"</f>
        <v>১৩০৩০৬১৮১০০৪</v>
      </c>
      <c r="H1999" s="75" t="s">
        <v>346</v>
      </c>
      <c r="I1999" s="75" t="s">
        <v>346</v>
      </c>
      <c r="J1999" s="4"/>
    </row>
    <row r="2000" spans="1:10" x14ac:dyDescent="0.25">
      <c r="A2000" s="39">
        <v>1999</v>
      </c>
      <c r="B2000" s="3" t="s">
        <v>3040</v>
      </c>
      <c r="C2000" s="75" t="s">
        <v>964</v>
      </c>
      <c r="D2000" s="75" t="s">
        <v>466</v>
      </c>
      <c r="E2000" s="75" t="str">
        <f t="shared" si="40"/>
        <v>০</v>
      </c>
      <c r="F2000" s="22" t="str">
        <f>"8119457812436"</f>
        <v>8119457812436</v>
      </c>
      <c r="G2000" s="75" t="str">
        <f>"১৩০৩০৬১৮১০০৩"</f>
        <v>১৩০৩০৬১৮১০০৩</v>
      </c>
      <c r="H2000" s="75" t="s">
        <v>392</v>
      </c>
      <c r="I2000" s="75" t="s">
        <v>392</v>
      </c>
      <c r="J2000" s="4"/>
    </row>
    <row r="2001" spans="1:10" x14ac:dyDescent="0.25">
      <c r="A2001" s="39">
        <v>2000</v>
      </c>
      <c r="B2001" s="3" t="s">
        <v>380</v>
      </c>
      <c r="C2001" s="75" t="s">
        <v>3041</v>
      </c>
      <c r="D2001" s="75" t="s">
        <v>466</v>
      </c>
      <c r="E2001" s="75" t="str">
        <f t="shared" si="40"/>
        <v>০</v>
      </c>
      <c r="F2001" s="22" t="str">
        <f>"8119457774125"</f>
        <v>8119457774125</v>
      </c>
      <c r="G2001" s="75" t="str">
        <f>"১৩০৩০৬১৮১০০২"</f>
        <v>১৩০৩০৬১৮১০০২</v>
      </c>
      <c r="H2001" s="75" t="s">
        <v>371</v>
      </c>
      <c r="I2001" s="75" t="s">
        <v>371</v>
      </c>
      <c r="J2001" s="4"/>
    </row>
    <row r="2002" spans="1:10" x14ac:dyDescent="0.25">
      <c r="A2002" s="39">
        <v>2001</v>
      </c>
      <c r="B2002" s="3" t="s">
        <v>952</v>
      </c>
      <c r="C2002" s="75" t="s">
        <v>965</v>
      </c>
      <c r="D2002" s="75" t="s">
        <v>466</v>
      </c>
      <c r="E2002" s="75" t="str">
        <f t="shared" si="40"/>
        <v>০</v>
      </c>
      <c r="F2002" s="22" t="str">
        <f>"8119457810769"</f>
        <v>8119457810769</v>
      </c>
      <c r="G2002" s="75" t="str">
        <f>"১৩০৩০৬১৮১০০১"</f>
        <v>১৩০৩০৬১৮১০০১</v>
      </c>
      <c r="H2002" s="75" t="s">
        <v>322</v>
      </c>
      <c r="I2002" s="75" t="s">
        <v>322</v>
      </c>
      <c r="J2002" s="4"/>
    </row>
    <row r="2003" spans="1:10" x14ac:dyDescent="0.25">
      <c r="A2003" s="39">
        <v>2002</v>
      </c>
      <c r="B2003" s="3" t="s">
        <v>966</v>
      </c>
      <c r="C2003" s="75" t="s">
        <v>967</v>
      </c>
      <c r="D2003" s="75" t="s">
        <v>466</v>
      </c>
      <c r="E2003" s="75" t="str">
        <f t="shared" si="40"/>
        <v>০</v>
      </c>
      <c r="F2003" s="22" t="str">
        <f>"8119457810831"</f>
        <v>8119457810831</v>
      </c>
      <c r="G2003" s="75" t="str">
        <f>"১৩০৩০৬১৮০৭৯৯"</f>
        <v>১৩০৩০৬১৮০৭৯৯</v>
      </c>
      <c r="H2003" s="75" t="s">
        <v>319</v>
      </c>
      <c r="I2003" s="75" t="s">
        <v>319</v>
      </c>
      <c r="J2003" s="4"/>
    </row>
    <row r="2004" spans="1:10" x14ac:dyDescent="0.25">
      <c r="A2004" s="39">
        <v>2003</v>
      </c>
      <c r="B2004" s="3" t="s">
        <v>890</v>
      </c>
      <c r="C2004" s="75" t="s">
        <v>965</v>
      </c>
      <c r="D2004" s="75" t="s">
        <v>466</v>
      </c>
      <c r="E2004" s="75" t="str">
        <f t="shared" si="40"/>
        <v>০</v>
      </c>
      <c r="F2004" s="22" t="str">
        <f>"8119457810743"</f>
        <v>8119457810743</v>
      </c>
      <c r="G2004" s="75" t="str">
        <f>"১৩০৩০৬১৮০৭৯৮"</f>
        <v>১৩০৩০৬১৮০৭৯৮</v>
      </c>
      <c r="H2004" s="75" t="s">
        <v>322</v>
      </c>
      <c r="I2004" s="75" t="s">
        <v>322</v>
      </c>
      <c r="J2004" s="4"/>
    </row>
    <row r="2005" spans="1:10" x14ac:dyDescent="0.25">
      <c r="A2005" s="39">
        <v>2004</v>
      </c>
      <c r="B2005" s="3" t="s">
        <v>968</v>
      </c>
      <c r="C2005" s="75" t="s">
        <v>969</v>
      </c>
      <c r="D2005" s="75" t="s">
        <v>466</v>
      </c>
      <c r="E2005" s="75" t="str">
        <f t="shared" si="40"/>
        <v>০</v>
      </c>
      <c r="F2005" s="22" t="str">
        <f>"8119457812484"</f>
        <v>8119457812484</v>
      </c>
      <c r="G2005" s="75" t="str">
        <f>"১৩০৩০৬১৮০৭৯৭"</f>
        <v>১৩০৩০৬১৮০৭৯৭</v>
      </c>
      <c r="H2005" s="75" t="s">
        <v>357</v>
      </c>
      <c r="I2005" s="75" t="s">
        <v>357</v>
      </c>
      <c r="J2005" s="4"/>
    </row>
    <row r="2006" spans="1:10" x14ac:dyDescent="0.25">
      <c r="A2006" s="39">
        <v>2005</v>
      </c>
      <c r="B2006" s="3" t="s">
        <v>970</v>
      </c>
      <c r="C2006" s="75" t="s">
        <v>967</v>
      </c>
      <c r="D2006" s="75" t="s">
        <v>466</v>
      </c>
      <c r="E2006" s="75" t="str">
        <f t="shared" si="40"/>
        <v>০</v>
      </c>
      <c r="F2006" s="22" t="str">
        <f>"8119457812480"</f>
        <v>8119457812480</v>
      </c>
      <c r="G2006" s="75" t="str">
        <f>"১৩০৩০৬১৮০৭৯৬"</f>
        <v>১৩০৩০৬১৮০৭৯৬</v>
      </c>
      <c r="H2006" s="75" t="s">
        <v>392</v>
      </c>
      <c r="I2006" s="75" t="s">
        <v>392</v>
      </c>
      <c r="J2006" s="4"/>
    </row>
    <row r="2007" spans="1:10" x14ac:dyDescent="0.25">
      <c r="A2007" s="39">
        <v>2006</v>
      </c>
      <c r="B2007" s="3" t="s">
        <v>377</v>
      </c>
      <c r="C2007" s="75" t="s">
        <v>965</v>
      </c>
      <c r="D2007" s="75" t="s">
        <v>466</v>
      </c>
      <c r="E2007" s="75" t="str">
        <f t="shared" si="40"/>
        <v>০</v>
      </c>
      <c r="F2007" s="22" t="str">
        <f>"8119457810747"</f>
        <v>8119457810747</v>
      </c>
      <c r="G2007" s="75" t="str">
        <f>"১৩০৩০৬১৮০৭৯৫"</f>
        <v>১৩০৩০৬১৮০৭৯৫</v>
      </c>
      <c r="H2007" s="75" t="s">
        <v>371</v>
      </c>
      <c r="I2007" s="75" t="s">
        <v>371</v>
      </c>
      <c r="J2007" s="4"/>
    </row>
    <row r="2008" spans="1:10" x14ac:dyDescent="0.25">
      <c r="A2008" s="39">
        <v>2007</v>
      </c>
      <c r="B2008" s="3" t="s">
        <v>971</v>
      </c>
      <c r="C2008" s="75" t="s">
        <v>481</v>
      </c>
      <c r="D2008" s="75" t="s">
        <v>466</v>
      </c>
      <c r="E2008" s="75" t="str">
        <f t="shared" si="40"/>
        <v>০</v>
      </c>
      <c r="F2008" s="22" t="str">
        <f>"8119457810838"</f>
        <v>8119457810838</v>
      </c>
      <c r="G2008" s="75" t="str">
        <f>"১৩০৩০৬১৮০৭৯৪"</f>
        <v>১৩০৩০৬১৮০৭৯৪</v>
      </c>
      <c r="H2008" s="75" t="s">
        <v>318</v>
      </c>
      <c r="I2008" s="75" t="s">
        <v>318</v>
      </c>
      <c r="J2008" s="4"/>
    </row>
    <row r="2009" spans="1:10" x14ac:dyDescent="0.25">
      <c r="A2009" s="39">
        <v>2008</v>
      </c>
      <c r="B2009" s="3" t="s">
        <v>972</v>
      </c>
      <c r="C2009" s="75" t="s">
        <v>3042</v>
      </c>
      <c r="D2009" s="75" t="s">
        <v>466</v>
      </c>
      <c r="E2009" s="75" t="str">
        <f t="shared" si="40"/>
        <v>০</v>
      </c>
      <c r="F2009" s="22" t="str">
        <f>"8119457810957"</f>
        <v>8119457810957</v>
      </c>
      <c r="G2009" s="75" t="str">
        <f>"১৩০৩০৬১৮০৭৯৩"</f>
        <v>১৩০৩০৬১৮০৭৯৩</v>
      </c>
      <c r="H2009" s="75" t="s">
        <v>392</v>
      </c>
      <c r="I2009" s="75" t="s">
        <v>392</v>
      </c>
      <c r="J2009" s="4"/>
    </row>
    <row r="2010" spans="1:10" x14ac:dyDescent="0.25">
      <c r="A2010" s="39">
        <v>2009</v>
      </c>
      <c r="B2010" s="3" t="s">
        <v>964</v>
      </c>
      <c r="C2010" s="75" t="s">
        <v>935</v>
      </c>
      <c r="D2010" s="75" t="s">
        <v>466</v>
      </c>
      <c r="E2010" s="75" t="str">
        <f t="shared" si="40"/>
        <v>০</v>
      </c>
      <c r="F2010" s="22" t="str">
        <f>"8119457810903"</f>
        <v>8119457810903</v>
      </c>
      <c r="G2010" s="75" t="str">
        <f>"১৩০৩০৬১৮০৭৯২"</f>
        <v>১৩০৩০৬১৮০৭৯২</v>
      </c>
      <c r="H2010" s="75" t="s">
        <v>385</v>
      </c>
      <c r="I2010" s="75" t="s">
        <v>385</v>
      </c>
      <c r="J2010" s="4"/>
    </row>
    <row r="2011" spans="1:10" x14ac:dyDescent="0.25">
      <c r="A2011" s="39">
        <v>2010</v>
      </c>
      <c r="B2011" s="3" t="s">
        <v>3043</v>
      </c>
      <c r="C2011" s="75" t="s">
        <v>973</v>
      </c>
      <c r="D2011" s="75" t="s">
        <v>466</v>
      </c>
      <c r="E2011" s="75" t="str">
        <f t="shared" si="40"/>
        <v>০</v>
      </c>
      <c r="F2011" s="22" t="str">
        <f>"8119457810802"</f>
        <v>8119457810802</v>
      </c>
      <c r="G2011" s="75" t="str">
        <f>"১৩০৩০৬১৮০৭৯১"</f>
        <v>১৩০৩০৬১৮০৭৯১</v>
      </c>
      <c r="H2011" s="75" t="s">
        <v>323</v>
      </c>
      <c r="I2011" s="75" t="s">
        <v>323</v>
      </c>
      <c r="J2011" s="4"/>
    </row>
    <row r="2012" spans="1:10" x14ac:dyDescent="0.25">
      <c r="A2012" s="39">
        <v>2011</v>
      </c>
      <c r="B2012" s="3" t="s">
        <v>974</v>
      </c>
      <c r="C2012" s="75" t="s">
        <v>975</v>
      </c>
      <c r="D2012" s="75" t="s">
        <v>466</v>
      </c>
      <c r="E2012" s="75" t="str">
        <f t="shared" si="40"/>
        <v>০</v>
      </c>
      <c r="F2012" s="22" t="str">
        <f>"8119457810751"</f>
        <v>8119457810751</v>
      </c>
      <c r="G2012" s="75" t="str">
        <f>"১৩০৩০৬১৮০৭৯০"</f>
        <v>১৩০৩০৬১৮০৭৯০</v>
      </c>
      <c r="H2012" s="75" t="s">
        <v>456</v>
      </c>
      <c r="I2012" s="75" t="s">
        <v>456</v>
      </c>
      <c r="J2012" s="4"/>
    </row>
    <row r="2013" spans="1:10" x14ac:dyDescent="0.25">
      <c r="A2013" s="39">
        <v>2012</v>
      </c>
      <c r="B2013" s="3" t="s">
        <v>976</v>
      </c>
      <c r="C2013" s="75" t="s">
        <v>874</v>
      </c>
      <c r="D2013" s="75" t="s">
        <v>466</v>
      </c>
      <c r="E2013" s="75" t="str">
        <f t="shared" si="40"/>
        <v>০</v>
      </c>
      <c r="F2013" s="22" t="str">
        <f>"8119457810985"</f>
        <v>8119457810985</v>
      </c>
      <c r="G2013" s="75" t="str">
        <f>"১৩০৩০৬১৮০৭৮৯"</f>
        <v>১৩০৩০৬১৮০৭৮৯</v>
      </c>
      <c r="H2013" s="75" t="s">
        <v>371</v>
      </c>
      <c r="I2013" s="75" t="s">
        <v>371</v>
      </c>
      <c r="J2013" s="4"/>
    </row>
    <row r="2014" spans="1:10" x14ac:dyDescent="0.25">
      <c r="A2014" s="39">
        <v>2013</v>
      </c>
      <c r="B2014" s="3" t="s">
        <v>977</v>
      </c>
      <c r="C2014" s="75" t="s">
        <v>978</v>
      </c>
      <c r="D2014" s="75" t="s">
        <v>466</v>
      </c>
      <c r="E2014" s="75" t="str">
        <f t="shared" si="40"/>
        <v>০</v>
      </c>
      <c r="F2014" s="22" t="str">
        <f>"8119457774120"</f>
        <v>8119457774120</v>
      </c>
      <c r="G2014" s="75" t="str">
        <f>"১৩০৩০৬১৮০৭৮৮"</f>
        <v>১৩০৩০৬১৮০৭৮৮</v>
      </c>
      <c r="H2014" s="75" t="s">
        <v>371</v>
      </c>
      <c r="I2014" s="75" t="s">
        <v>371</v>
      </c>
      <c r="J2014" s="4"/>
    </row>
    <row r="2015" spans="1:10" x14ac:dyDescent="0.25">
      <c r="A2015" s="39">
        <v>2014</v>
      </c>
      <c r="B2015" s="3" t="s">
        <v>470</v>
      </c>
      <c r="C2015" s="75" t="s">
        <v>678</v>
      </c>
      <c r="D2015" s="75" t="s">
        <v>466</v>
      </c>
      <c r="E2015" s="75" t="str">
        <f t="shared" si="40"/>
        <v>০</v>
      </c>
      <c r="F2015" s="22" t="str">
        <f>"8119457810700"</f>
        <v>8119457810700</v>
      </c>
      <c r="G2015" s="75" t="str">
        <f>"১৩০৩০৬১৮০৭৮৭"</f>
        <v>১৩০৩০৬১৮০৭৮৭</v>
      </c>
      <c r="H2015" s="75" t="s">
        <v>460</v>
      </c>
      <c r="I2015" s="75" t="s">
        <v>460</v>
      </c>
      <c r="J2015" s="4"/>
    </row>
    <row r="2016" spans="1:10" x14ac:dyDescent="0.25">
      <c r="A2016" s="39">
        <v>2015</v>
      </c>
      <c r="B2016" s="3" t="s">
        <v>979</v>
      </c>
      <c r="C2016" s="75" t="s">
        <v>980</v>
      </c>
      <c r="D2016" s="75" t="s">
        <v>466</v>
      </c>
      <c r="E2016" s="75" t="str">
        <f t="shared" si="40"/>
        <v>০</v>
      </c>
      <c r="F2016" s="22" t="str">
        <f>"8119457810781"</f>
        <v>8119457810781</v>
      </c>
      <c r="G2016" s="75" t="str">
        <f>"১৩০৩০৬১৮০৭৮৬"</f>
        <v>১৩০৩০৬১৮০৭৮৬</v>
      </c>
      <c r="H2016" s="75" t="s">
        <v>329</v>
      </c>
      <c r="I2016" s="75" t="s">
        <v>329</v>
      </c>
      <c r="J2016" s="4"/>
    </row>
    <row r="2017" spans="1:10" x14ac:dyDescent="0.25">
      <c r="A2017" s="39">
        <v>2016</v>
      </c>
      <c r="B2017" s="3" t="s">
        <v>981</v>
      </c>
      <c r="C2017" s="75" t="s">
        <v>514</v>
      </c>
      <c r="D2017" s="75" t="s">
        <v>466</v>
      </c>
      <c r="E2017" s="75" t="str">
        <f t="shared" si="40"/>
        <v>০</v>
      </c>
      <c r="F2017" s="22" t="str">
        <f>"8119457810512"</f>
        <v>8119457810512</v>
      </c>
      <c r="G2017" s="75" t="str">
        <f>"১৩০৩০৬১৮০৭৮৫"</f>
        <v>১৩০৩০৬১৮০৭৮৫</v>
      </c>
      <c r="H2017" s="75" t="s">
        <v>319</v>
      </c>
      <c r="I2017" s="75" t="s">
        <v>319</v>
      </c>
      <c r="J2017" s="4"/>
    </row>
    <row r="2018" spans="1:10" x14ac:dyDescent="0.25">
      <c r="A2018" s="39">
        <v>2017</v>
      </c>
      <c r="B2018" s="3" t="s">
        <v>982</v>
      </c>
      <c r="C2018" s="75" t="s">
        <v>983</v>
      </c>
      <c r="D2018" s="75" t="s">
        <v>466</v>
      </c>
      <c r="E2018" s="75" t="str">
        <f t="shared" si="40"/>
        <v>০</v>
      </c>
      <c r="F2018" s="22" t="str">
        <f>"8119457810451"</f>
        <v>8119457810451</v>
      </c>
      <c r="G2018" s="75" t="str">
        <f>"১৩০৩০৬১৮০৭৮৪"</f>
        <v>১৩০৩০৬১৮০৭৮৪</v>
      </c>
      <c r="H2018" s="75" t="s">
        <v>322</v>
      </c>
      <c r="I2018" s="75" t="s">
        <v>322</v>
      </c>
      <c r="J2018" s="4"/>
    </row>
    <row r="2019" spans="1:10" x14ac:dyDescent="0.25">
      <c r="A2019" s="39">
        <v>2018</v>
      </c>
      <c r="B2019" s="3" t="s">
        <v>1963</v>
      </c>
      <c r="C2019" s="75" t="s">
        <v>984</v>
      </c>
      <c r="D2019" s="75" t="s">
        <v>466</v>
      </c>
      <c r="E2019" s="75" t="str">
        <f t="shared" si="40"/>
        <v>০</v>
      </c>
      <c r="F2019" s="22" t="str">
        <f>"8119457810646"</f>
        <v>8119457810646</v>
      </c>
      <c r="G2019" s="75" t="str">
        <f>"১৩০৩০৬১৮০৭৮৩"</f>
        <v>১৩০৩০৬১৮০৭৮৩</v>
      </c>
      <c r="H2019" s="75" t="s">
        <v>323</v>
      </c>
      <c r="I2019" s="75" t="s">
        <v>323</v>
      </c>
      <c r="J2019" s="4"/>
    </row>
    <row r="2020" spans="1:10" x14ac:dyDescent="0.25">
      <c r="A2020" s="39">
        <v>2019</v>
      </c>
      <c r="B2020" s="3" t="s">
        <v>964</v>
      </c>
      <c r="C2020" s="75" t="s">
        <v>481</v>
      </c>
      <c r="D2020" s="75" t="s">
        <v>466</v>
      </c>
      <c r="E2020" s="75" t="str">
        <f t="shared" si="40"/>
        <v>০</v>
      </c>
      <c r="F2020" s="22" t="str">
        <f>"8119457812440"</f>
        <v>8119457812440</v>
      </c>
      <c r="G2020" s="75" t="str">
        <f>"১৩০৩০৬১৮০৭৮২"</f>
        <v>১৩০৩০৬১৮০৭৮২</v>
      </c>
      <c r="H2020" s="75" t="s">
        <v>467</v>
      </c>
      <c r="I2020" s="75" t="s">
        <v>467</v>
      </c>
      <c r="J2020" s="4"/>
    </row>
    <row r="2021" spans="1:10" x14ac:dyDescent="0.25">
      <c r="A2021" s="39">
        <v>2020</v>
      </c>
      <c r="B2021" s="3" t="s">
        <v>985</v>
      </c>
      <c r="C2021" s="75" t="s">
        <v>986</v>
      </c>
      <c r="D2021" s="75" t="s">
        <v>466</v>
      </c>
      <c r="E2021" s="75" t="str">
        <f t="shared" si="40"/>
        <v>০</v>
      </c>
      <c r="F2021" s="22" t="str">
        <f>"8119457810768"</f>
        <v>8119457810768</v>
      </c>
      <c r="G2021" s="75" t="str">
        <f>"১৩০৩০৬১৮০৭৮১"</f>
        <v>১৩০৩০৬১৮০৭৮১</v>
      </c>
      <c r="H2021" s="75" t="s">
        <v>392</v>
      </c>
      <c r="I2021" s="75" t="s">
        <v>392</v>
      </c>
      <c r="J2021" s="4"/>
    </row>
    <row r="2022" spans="1:10" x14ac:dyDescent="0.25">
      <c r="A2022" s="39">
        <v>2021</v>
      </c>
      <c r="B2022" s="3" t="s">
        <v>1637</v>
      </c>
      <c r="C2022" s="75" t="s">
        <v>3044</v>
      </c>
      <c r="D2022" s="75" t="s">
        <v>466</v>
      </c>
      <c r="E2022" s="75" t="str">
        <f t="shared" si="40"/>
        <v>০</v>
      </c>
      <c r="F2022" s="22" t="str">
        <f>"8119457812387"</f>
        <v>8119457812387</v>
      </c>
      <c r="G2022" s="75" t="str">
        <f>"১৩০৩০৬১৮০৭৮০"</f>
        <v>১৩০৩০৬১৮০৭৮০</v>
      </c>
      <c r="H2022" s="75" t="s">
        <v>472</v>
      </c>
      <c r="I2022" s="75" t="s">
        <v>472</v>
      </c>
      <c r="J2022" s="4"/>
    </row>
    <row r="2023" spans="1:10" x14ac:dyDescent="0.25">
      <c r="A2023" s="39">
        <v>2022</v>
      </c>
      <c r="B2023" s="3" t="s">
        <v>987</v>
      </c>
      <c r="C2023" s="75" t="s">
        <v>874</v>
      </c>
      <c r="D2023" s="75" t="s">
        <v>466</v>
      </c>
      <c r="E2023" s="75" t="str">
        <f t="shared" si="40"/>
        <v>০</v>
      </c>
      <c r="F2023" s="22" t="str">
        <f>"8119457810955"</f>
        <v>8119457810955</v>
      </c>
      <c r="G2023" s="75" t="str">
        <f>"১৩০৩০৬১৮০৭৭৯"</f>
        <v>১৩০৩০৬১৮০৭৭৯</v>
      </c>
      <c r="H2023" s="75" t="s">
        <v>321</v>
      </c>
      <c r="I2023" s="75" t="s">
        <v>321</v>
      </c>
      <c r="J2023" s="4"/>
    </row>
    <row r="2024" spans="1:10" x14ac:dyDescent="0.25">
      <c r="A2024" s="39">
        <v>2023</v>
      </c>
      <c r="B2024" s="3" t="s">
        <v>988</v>
      </c>
      <c r="C2024" s="75" t="s">
        <v>989</v>
      </c>
      <c r="D2024" s="75" t="s">
        <v>466</v>
      </c>
      <c r="E2024" s="75" t="str">
        <f t="shared" si="40"/>
        <v>০</v>
      </c>
      <c r="F2024" s="22" t="str">
        <f>"8119457810480"</f>
        <v>8119457810480</v>
      </c>
      <c r="G2024" s="75" t="str">
        <f>"১৩০৩০৬১৮০৭৭৮"</f>
        <v>১৩০৩০৬১৮০৭৭৮</v>
      </c>
      <c r="H2024" s="75" t="s">
        <v>460</v>
      </c>
      <c r="I2024" s="75" t="s">
        <v>460</v>
      </c>
      <c r="J2024" s="4"/>
    </row>
    <row r="2025" spans="1:10" x14ac:dyDescent="0.25">
      <c r="A2025" s="39">
        <v>2024</v>
      </c>
      <c r="B2025" s="3" t="s">
        <v>3045</v>
      </c>
      <c r="C2025" s="75" t="s">
        <v>3046</v>
      </c>
      <c r="D2025" s="75" t="s">
        <v>466</v>
      </c>
      <c r="E2025" s="75" t="str">
        <f t="shared" si="40"/>
        <v>০</v>
      </c>
      <c r="F2025" s="22" t="str">
        <f>"8119457810919"</f>
        <v>8119457810919</v>
      </c>
      <c r="G2025" s="75" t="str">
        <f>"১৩০৩০৬১৮০৭৭৭"</f>
        <v>১৩০৩০৬১৮০৭৭৭</v>
      </c>
      <c r="H2025" s="75" t="s">
        <v>322</v>
      </c>
      <c r="I2025" s="75" t="s">
        <v>322</v>
      </c>
      <c r="J2025" s="4"/>
    </row>
    <row r="2026" spans="1:10" x14ac:dyDescent="0.25">
      <c r="A2026" s="39">
        <v>2025</v>
      </c>
      <c r="B2026" s="3" t="s">
        <v>2314</v>
      </c>
      <c r="C2026" s="75" t="s">
        <v>983</v>
      </c>
      <c r="D2026" s="75" t="s">
        <v>466</v>
      </c>
      <c r="E2026" s="75" t="str">
        <f t="shared" si="40"/>
        <v>০</v>
      </c>
      <c r="F2026" s="22" t="str">
        <f>"8119457000065"</f>
        <v>8119457000065</v>
      </c>
      <c r="G2026" s="75" t="str">
        <f>"১৩০৩০৬১৮০৭৭৬"</f>
        <v>১৩০৩০৬১৮০৭৭৬</v>
      </c>
      <c r="H2026" s="75" t="s">
        <v>460</v>
      </c>
      <c r="I2026" s="75" t="s">
        <v>460</v>
      </c>
      <c r="J2026" s="4"/>
    </row>
    <row r="2027" spans="1:10" x14ac:dyDescent="0.25">
      <c r="A2027" s="39">
        <v>2026</v>
      </c>
      <c r="B2027" s="3" t="s">
        <v>3047</v>
      </c>
      <c r="C2027" s="75" t="s">
        <v>3048</v>
      </c>
      <c r="D2027" s="75" t="s">
        <v>466</v>
      </c>
      <c r="E2027" s="75" t="str">
        <f t="shared" si="40"/>
        <v>০</v>
      </c>
      <c r="F2027" s="22" t="str">
        <f>"8119457810777"</f>
        <v>8119457810777</v>
      </c>
      <c r="G2027" s="75" t="str">
        <f>"১৩০৩০৬১৮০৭৭৫"</f>
        <v>১৩০৩০৬১৮০৭৭৫</v>
      </c>
      <c r="H2027" s="75" t="s">
        <v>319</v>
      </c>
      <c r="I2027" s="75" t="s">
        <v>319</v>
      </c>
      <c r="J2027" s="4"/>
    </row>
    <row r="2028" spans="1:10" x14ac:dyDescent="0.25">
      <c r="A2028" s="39">
        <v>2027</v>
      </c>
      <c r="B2028" s="3" t="s">
        <v>990</v>
      </c>
      <c r="C2028" s="75" t="s">
        <v>991</v>
      </c>
      <c r="D2028" s="75" t="s">
        <v>466</v>
      </c>
      <c r="E2028" s="75" t="str">
        <f t="shared" si="40"/>
        <v>০</v>
      </c>
      <c r="F2028" s="22" t="str">
        <f>"8119457810473"</f>
        <v>8119457810473</v>
      </c>
      <c r="G2028" s="75" t="str">
        <f>"১৩০৩০৬১৮০৭৭৪"</f>
        <v>১৩০৩০৬১৮০৭৭৪</v>
      </c>
      <c r="H2028" s="75" t="s">
        <v>371</v>
      </c>
      <c r="I2028" s="75" t="s">
        <v>371</v>
      </c>
      <c r="J2028" s="4"/>
    </row>
    <row r="2029" spans="1:10" x14ac:dyDescent="0.25">
      <c r="A2029" s="39">
        <v>2028</v>
      </c>
      <c r="B2029" s="3" t="s">
        <v>992</v>
      </c>
      <c r="C2029" s="75" t="s">
        <v>3049</v>
      </c>
      <c r="D2029" s="75" t="s">
        <v>466</v>
      </c>
      <c r="E2029" s="75" t="str">
        <f t="shared" si="40"/>
        <v>০</v>
      </c>
      <c r="F2029" s="22" t="str">
        <f>"8119457726969"</f>
        <v>8119457726969</v>
      </c>
      <c r="G2029" s="75" t="str">
        <f>"১৩০৩০৬১৮০৭৭৩"</f>
        <v>১৩০৩০৬১৮০৭৭৩</v>
      </c>
      <c r="H2029" s="75" t="s">
        <v>357</v>
      </c>
      <c r="I2029" s="75" t="s">
        <v>357</v>
      </c>
      <c r="J2029" s="4"/>
    </row>
    <row r="2030" spans="1:10" x14ac:dyDescent="0.25">
      <c r="A2030" s="39">
        <v>2029</v>
      </c>
      <c r="B2030" s="3" t="s">
        <v>993</v>
      </c>
      <c r="C2030" s="75" t="s">
        <v>994</v>
      </c>
      <c r="D2030" s="75" t="s">
        <v>466</v>
      </c>
      <c r="E2030" s="75" t="str">
        <f t="shared" si="40"/>
        <v>০</v>
      </c>
      <c r="F2030" s="22" t="str">
        <f>"8119457812414"</f>
        <v>8119457812414</v>
      </c>
      <c r="G2030" s="75" t="str">
        <f>"১৩০৩০৬১৮০৭৭২"</f>
        <v>১৩০৩০৬১৮০৭৭২</v>
      </c>
      <c r="H2030" s="75" t="s">
        <v>486</v>
      </c>
      <c r="I2030" s="75" t="s">
        <v>486</v>
      </c>
      <c r="J2030" s="4"/>
    </row>
    <row r="2031" spans="1:10" x14ac:dyDescent="0.25">
      <c r="A2031" s="39">
        <v>2030</v>
      </c>
      <c r="B2031" s="3" t="s">
        <v>995</v>
      </c>
      <c r="C2031" s="75" t="s">
        <v>3050</v>
      </c>
      <c r="D2031" s="75" t="s">
        <v>466</v>
      </c>
      <c r="E2031" s="75" t="str">
        <f t="shared" si="40"/>
        <v>০</v>
      </c>
      <c r="F2031" s="22" t="str">
        <f>"8119457810840"</f>
        <v>8119457810840</v>
      </c>
      <c r="G2031" s="75" t="str">
        <f>"১৩০৩০৬১৮০৭৭১"</f>
        <v>১৩০৩০৬১৮০৭৭১</v>
      </c>
      <c r="H2031" s="75" t="s">
        <v>371</v>
      </c>
      <c r="I2031" s="75" t="s">
        <v>371</v>
      </c>
      <c r="J2031" s="4"/>
    </row>
    <row r="2032" spans="1:10" x14ac:dyDescent="0.25">
      <c r="A2032" s="39">
        <v>2031</v>
      </c>
      <c r="B2032" s="3" t="s">
        <v>996</v>
      </c>
      <c r="C2032" s="75" t="s">
        <v>997</v>
      </c>
      <c r="D2032" s="75" t="s">
        <v>466</v>
      </c>
      <c r="E2032" s="75" t="str">
        <f t="shared" si="40"/>
        <v>০</v>
      </c>
      <c r="F2032" s="22" t="str">
        <f>"8119457810492"</f>
        <v>8119457810492</v>
      </c>
      <c r="G2032" s="75" t="str">
        <f>"১৩০৩০৬১৮০৭৭০"</f>
        <v>১৩০৩০৬১৮০৭৭০</v>
      </c>
      <c r="H2032" s="75" t="s">
        <v>371</v>
      </c>
      <c r="I2032" s="75" t="s">
        <v>371</v>
      </c>
      <c r="J2032" s="4"/>
    </row>
    <row r="2033" spans="1:10" x14ac:dyDescent="0.25">
      <c r="A2033" s="39">
        <v>2032</v>
      </c>
      <c r="B2033" s="3" t="s">
        <v>351</v>
      </c>
      <c r="C2033" s="75" t="s">
        <v>465</v>
      </c>
      <c r="D2033" s="75" t="s">
        <v>466</v>
      </c>
      <c r="E2033" s="75" t="str">
        <f t="shared" si="40"/>
        <v>০</v>
      </c>
      <c r="F2033" s="22" t="str">
        <f>"8119457810465"</f>
        <v>8119457810465</v>
      </c>
      <c r="G2033" s="75" t="str">
        <f>"১৩০৩০৬১৮০৭৬৯"</f>
        <v>১৩০৩০৬১৮০৭৬৯</v>
      </c>
      <c r="H2033" s="75" t="s">
        <v>385</v>
      </c>
      <c r="I2033" s="75" t="s">
        <v>385</v>
      </c>
      <c r="J2033" s="4"/>
    </row>
    <row r="2034" spans="1:10" x14ac:dyDescent="0.25">
      <c r="A2034" s="39">
        <v>2033</v>
      </c>
      <c r="B2034" s="3" t="s">
        <v>998</v>
      </c>
      <c r="C2034" s="75" t="s">
        <v>999</v>
      </c>
      <c r="D2034" s="75" t="s">
        <v>466</v>
      </c>
      <c r="E2034" s="75" t="str">
        <f t="shared" si="40"/>
        <v>০</v>
      </c>
      <c r="F2034" s="22" t="str">
        <f>"8119457810863"</f>
        <v>8119457810863</v>
      </c>
      <c r="G2034" s="75" t="str">
        <f>"১৩০৩০৬১৮০৭৬৮"</f>
        <v>১৩০৩০৬১৮০৭৬৮</v>
      </c>
      <c r="H2034" s="75" t="s">
        <v>495</v>
      </c>
      <c r="I2034" s="75" t="s">
        <v>495</v>
      </c>
      <c r="J2034" s="4"/>
    </row>
    <row r="2035" spans="1:10" x14ac:dyDescent="0.25">
      <c r="A2035" s="39">
        <v>2034</v>
      </c>
      <c r="B2035" s="3" t="s">
        <v>2815</v>
      </c>
      <c r="C2035" s="75" t="s">
        <v>796</v>
      </c>
      <c r="D2035" s="75" t="s">
        <v>466</v>
      </c>
      <c r="E2035" s="75" t="str">
        <f t="shared" si="40"/>
        <v>০</v>
      </c>
      <c r="F2035" s="22" t="str">
        <f>"8119457810889"</f>
        <v>8119457810889</v>
      </c>
      <c r="G2035" s="75" t="str">
        <f>"১৩০৩০৬১৮০৭৬৭"</f>
        <v>১৩০৩০৬১৮০৭৬৭</v>
      </c>
      <c r="H2035" s="75" t="s">
        <v>322</v>
      </c>
      <c r="I2035" s="75" t="s">
        <v>322</v>
      </c>
      <c r="J2035" s="4"/>
    </row>
    <row r="2036" spans="1:10" x14ac:dyDescent="0.25">
      <c r="A2036" s="39">
        <v>2035</v>
      </c>
      <c r="B2036" s="3" t="s">
        <v>1000</v>
      </c>
      <c r="C2036" s="75" t="s">
        <v>3051</v>
      </c>
      <c r="D2036" s="75" t="s">
        <v>466</v>
      </c>
      <c r="E2036" s="75" t="str">
        <f t="shared" si="40"/>
        <v>০</v>
      </c>
      <c r="F2036" s="22" t="str">
        <f>"8119457810774"</f>
        <v>8119457810774</v>
      </c>
      <c r="G2036" s="75" t="str">
        <f>"১৩০৩০৬১৮০৭৬৬"</f>
        <v>১৩০৩০৬১৮০৭৬৬</v>
      </c>
      <c r="H2036" s="75" t="s">
        <v>346</v>
      </c>
      <c r="I2036" s="75" t="s">
        <v>346</v>
      </c>
      <c r="J2036" s="4"/>
    </row>
    <row r="2037" spans="1:10" x14ac:dyDescent="0.25">
      <c r="A2037" s="39">
        <v>2036</v>
      </c>
      <c r="B2037" s="3" t="s">
        <v>3052</v>
      </c>
      <c r="C2037" s="75" t="s">
        <v>940</v>
      </c>
      <c r="D2037" s="75" t="s">
        <v>466</v>
      </c>
      <c r="E2037" s="75" t="str">
        <f t="shared" si="40"/>
        <v>০</v>
      </c>
      <c r="F2037" s="22" t="str">
        <f>"8119457810943"</f>
        <v>8119457810943</v>
      </c>
      <c r="G2037" s="75" t="str">
        <f>"১৩০৩০৬১৮০৭৬৫"</f>
        <v>১৩০৩০৬১৮০৭৬৫</v>
      </c>
      <c r="H2037" s="75" t="s">
        <v>319</v>
      </c>
      <c r="I2037" s="75" t="s">
        <v>319</v>
      </c>
      <c r="J2037" s="4"/>
    </row>
    <row r="2038" spans="1:10" x14ac:dyDescent="0.25">
      <c r="A2038" s="39">
        <v>2037</v>
      </c>
      <c r="B2038" s="3" t="s">
        <v>743</v>
      </c>
      <c r="C2038" s="75" t="s">
        <v>1001</v>
      </c>
      <c r="D2038" s="75" t="s">
        <v>466</v>
      </c>
      <c r="E2038" s="75" t="str">
        <f t="shared" si="40"/>
        <v>০</v>
      </c>
      <c r="F2038" s="22" t="str">
        <f>"8119457812389"</f>
        <v>8119457812389</v>
      </c>
      <c r="G2038" s="75" t="str">
        <f>"১৩০৩০৬১৮০৭৬৪"</f>
        <v>১৩০৩০৬১৮০৭৬৪</v>
      </c>
      <c r="H2038" s="75" t="s">
        <v>323</v>
      </c>
      <c r="I2038" s="75" t="s">
        <v>323</v>
      </c>
      <c r="J2038" s="4"/>
    </row>
    <row r="2039" spans="1:10" x14ac:dyDescent="0.25">
      <c r="A2039" s="39">
        <v>2038</v>
      </c>
      <c r="B2039" s="3" t="s">
        <v>3053</v>
      </c>
      <c r="C2039" s="75" t="s">
        <v>3054</v>
      </c>
      <c r="D2039" s="75" t="s">
        <v>466</v>
      </c>
      <c r="E2039" s="75" t="str">
        <f t="shared" si="40"/>
        <v>০</v>
      </c>
      <c r="F2039" s="22" t="str">
        <f>"8119457810799"</f>
        <v>8119457810799</v>
      </c>
      <c r="G2039" s="75" t="str">
        <f>"১৩০৩০৬১৮০৭৬৩"</f>
        <v>১৩০৩০৬১৮০৭৬৩</v>
      </c>
      <c r="H2039" s="75" t="s">
        <v>346</v>
      </c>
      <c r="I2039" s="75" t="s">
        <v>346</v>
      </c>
      <c r="J2039" s="4"/>
    </row>
    <row r="2040" spans="1:10" x14ac:dyDescent="0.25">
      <c r="A2040" s="39">
        <v>2039</v>
      </c>
      <c r="B2040" s="3" t="s">
        <v>3055</v>
      </c>
      <c r="C2040" s="75" t="s">
        <v>481</v>
      </c>
      <c r="D2040" s="75" t="s">
        <v>466</v>
      </c>
      <c r="E2040" s="75" t="str">
        <f t="shared" si="40"/>
        <v>০</v>
      </c>
      <c r="F2040" s="22" t="str">
        <f>"8119457810542"</f>
        <v>8119457810542</v>
      </c>
      <c r="G2040" s="75" t="str">
        <f>"১৩০৩০৬১৮০৭৬২"</f>
        <v>১৩০৩০৬১৮০৭৬২</v>
      </c>
      <c r="H2040" s="75" t="s">
        <v>362</v>
      </c>
      <c r="I2040" s="75" t="s">
        <v>362</v>
      </c>
      <c r="J2040" s="4"/>
    </row>
    <row r="2041" spans="1:10" x14ac:dyDescent="0.25">
      <c r="A2041" s="39">
        <v>2040</v>
      </c>
      <c r="B2041" s="3" t="s">
        <v>1002</v>
      </c>
      <c r="C2041" s="75" t="s">
        <v>904</v>
      </c>
      <c r="D2041" s="75" t="s">
        <v>466</v>
      </c>
      <c r="E2041" s="75" t="str">
        <f t="shared" si="40"/>
        <v>০</v>
      </c>
      <c r="F2041" s="22" t="str">
        <f>"8119457813868"</f>
        <v>8119457813868</v>
      </c>
      <c r="G2041" s="75" t="str">
        <f>"১৩০৩০৬১৮০৭৬১"</f>
        <v>১৩০৩০৬১৮০৭৬১</v>
      </c>
      <c r="H2041" s="75" t="s">
        <v>322</v>
      </c>
      <c r="I2041" s="75" t="s">
        <v>322</v>
      </c>
      <c r="J2041" s="4"/>
    </row>
    <row r="2042" spans="1:10" x14ac:dyDescent="0.25">
      <c r="A2042" s="39">
        <v>2041</v>
      </c>
      <c r="B2042" s="3" t="s">
        <v>1003</v>
      </c>
      <c r="C2042" s="75" t="s">
        <v>1004</v>
      </c>
      <c r="D2042" s="75" t="s">
        <v>466</v>
      </c>
      <c r="E2042" s="75" t="str">
        <f t="shared" si="40"/>
        <v>০</v>
      </c>
      <c r="F2042" s="22" t="str">
        <f>"8119457810558"</f>
        <v>8119457810558</v>
      </c>
      <c r="G2042" s="75" t="str">
        <f>"১৩০৩০৬১৮০৭৬০"</f>
        <v>১৩০৩০৬১৮০৭৬০</v>
      </c>
      <c r="H2042" s="75" t="s">
        <v>346</v>
      </c>
      <c r="I2042" s="75" t="s">
        <v>346</v>
      </c>
      <c r="J2042" s="4"/>
    </row>
    <row r="2043" spans="1:10" x14ac:dyDescent="0.25">
      <c r="A2043" s="39">
        <v>2042</v>
      </c>
      <c r="B2043" s="3" t="s">
        <v>1005</v>
      </c>
      <c r="C2043" s="75" t="s">
        <v>1006</v>
      </c>
      <c r="D2043" s="75" t="s">
        <v>466</v>
      </c>
      <c r="E2043" s="75" t="str">
        <f t="shared" si="40"/>
        <v>০</v>
      </c>
      <c r="F2043" s="22" t="str">
        <f>"8119457810832"</f>
        <v>8119457810832</v>
      </c>
      <c r="G2043" s="75" t="str">
        <f>"১৩০৩০৬১৮০৭৫৯"</f>
        <v>১৩০৩০৬১৮০৭৫৯</v>
      </c>
      <c r="H2043" s="75" t="s">
        <v>362</v>
      </c>
      <c r="I2043" s="75" t="s">
        <v>362</v>
      </c>
      <c r="J2043" s="4"/>
    </row>
    <row r="2044" spans="1:10" x14ac:dyDescent="0.25">
      <c r="A2044" s="39">
        <v>2043</v>
      </c>
      <c r="B2044" s="3" t="s">
        <v>1007</v>
      </c>
      <c r="C2044" s="75" t="s">
        <v>2953</v>
      </c>
      <c r="D2044" s="75" t="s">
        <v>466</v>
      </c>
      <c r="E2044" s="75" t="str">
        <f t="shared" si="40"/>
        <v>০</v>
      </c>
      <c r="F2044" s="22" t="str">
        <f>"8119457810485"</f>
        <v>8119457810485</v>
      </c>
      <c r="G2044" s="75" t="str">
        <f>"১৩০৩০৬১৮০৭৫৮"</f>
        <v>১৩০৩০৬১৮০৭৫৮</v>
      </c>
      <c r="H2044" s="75" t="s">
        <v>326</v>
      </c>
      <c r="I2044" s="75" t="s">
        <v>326</v>
      </c>
      <c r="J2044" s="4"/>
    </row>
    <row r="2045" spans="1:10" x14ac:dyDescent="0.25">
      <c r="A2045" s="39">
        <v>2044</v>
      </c>
      <c r="B2045" s="3" t="s">
        <v>2185</v>
      </c>
      <c r="C2045" s="75" t="s">
        <v>939</v>
      </c>
      <c r="D2045" s="75" t="s">
        <v>466</v>
      </c>
      <c r="E2045" s="75" t="str">
        <f t="shared" si="40"/>
        <v>০</v>
      </c>
      <c r="F2045" s="22" t="str">
        <f>"8119457810842"</f>
        <v>8119457810842</v>
      </c>
      <c r="G2045" s="75" t="str">
        <f>"১৩০৩০৬১৮০৭৫৭"</f>
        <v>১৩০৩০৬১৮০৭৫৭</v>
      </c>
      <c r="H2045" s="75" t="s">
        <v>322</v>
      </c>
      <c r="I2045" s="75" t="s">
        <v>322</v>
      </c>
      <c r="J2045" s="4"/>
    </row>
    <row r="2046" spans="1:10" x14ac:dyDescent="0.25">
      <c r="A2046" s="39">
        <v>2045</v>
      </c>
      <c r="B2046" s="3" t="s">
        <v>1008</v>
      </c>
      <c r="C2046" s="75" t="s">
        <v>940</v>
      </c>
      <c r="D2046" s="75" t="s">
        <v>466</v>
      </c>
      <c r="E2046" s="75" t="str">
        <f t="shared" si="40"/>
        <v>০</v>
      </c>
      <c r="F2046" s="22" t="str">
        <f>"8119457810953"</f>
        <v>8119457810953</v>
      </c>
      <c r="G2046" s="75" t="str">
        <f>"১৩০৩০৬১৮০৭৫৬"</f>
        <v>১৩০৩০৬১৮০৭৫৬</v>
      </c>
      <c r="H2046" s="75" t="s">
        <v>322</v>
      </c>
      <c r="I2046" s="75" t="s">
        <v>322</v>
      </c>
      <c r="J2046" s="4"/>
    </row>
    <row r="2047" spans="1:10" x14ac:dyDescent="0.25">
      <c r="A2047" s="39">
        <v>2046</v>
      </c>
      <c r="B2047" s="3" t="s">
        <v>1009</v>
      </c>
      <c r="C2047" s="75" t="s">
        <v>1010</v>
      </c>
      <c r="D2047" s="75" t="s">
        <v>466</v>
      </c>
      <c r="E2047" s="75" t="str">
        <f t="shared" si="40"/>
        <v>০</v>
      </c>
      <c r="F2047" s="22" t="str">
        <f>"8119457774151"</f>
        <v>8119457774151</v>
      </c>
      <c r="G2047" s="75" t="str">
        <f>"১৩০৩০৬১৮০৭৫৫"</f>
        <v>১৩০৩০৬১৮০৭৫৫</v>
      </c>
      <c r="H2047" s="75" t="s">
        <v>346</v>
      </c>
      <c r="I2047" s="75" t="s">
        <v>346</v>
      </c>
      <c r="J2047" s="4"/>
    </row>
    <row r="2048" spans="1:10" x14ac:dyDescent="0.25">
      <c r="A2048" s="39">
        <v>2047</v>
      </c>
      <c r="B2048" s="3" t="s">
        <v>1008</v>
      </c>
      <c r="C2048" s="75" t="s">
        <v>3056</v>
      </c>
      <c r="D2048" s="75" t="s">
        <v>466</v>
      </c>
      <c r="E2048" s="75" t="str">
        <f t="shared" si="40"/>
        <v>০</v>
      </c>
      <c r="F2048" s="22" t="str">
        <f>"8119457810796"</f>
        <v>8119457810796</v>
      </c>
      <c r="G2048" s="75" t="str">
        <f>"১৩০৩০৬১৮০৭৫৪"</f>
        <v>১৩০৩০৬১৮০৭৫৪</v>
      </c>
      <c r="H2048" s="75" t="s">
        <v>362</v>
      </c>
      <c r="I2048" s="75" t="s">
        <v>362</v>
      </c>
      <c r="J2048" s="4"/>
    </row>
    <row r="2049" spans="1:10" x14ac:dyDescent="0.25">
      <c r="A2049" s="39">
        <v>2048</v>
      </c>
      <c r="B2049" s="3" t="s">
        <v>1011</v>
      </c>
      <c r="C2049" s="75" t="s">
        <v>1012</v>
      </c>
      <c r="D2049" s="75" t="s">
        <v>466</v>
      </c>
      <c r="E2049" s="75" t="str">
        <f t="shared" si="40"/>
        <v>০</v>
      </c>
      <c r="F2049" s="22" t="str">
        <f>"8119457810825"</f>
        <v>8119457810825</v>
      </c>
      <c r="G2049" s="75" t="str">
        <f>"১৩০৩০৬১৮০৭৫৩"</f>
        <v>১৩০৩০৬১৮০৭৫৩</v>
      </c>
      <c r="H2049" s="75" t="s">
        <v>349</v>
      </c>
      <c r="I2049" s="75" t="s">
        <v>349</v>
      </c>
      <c r="J2049" s="4"/>
    </row>
    <row r="2050" spans="1:10" x14ac:dyDescent="0.25">
      <c r="A2050" s="39">
        <v>2049</v>
      </c>
      <c r="B2050" s="3" t="s">
        <v>1013</v>
      </c>
      <c r="C2050" s="75" t="s">
        <v>1014</v>
      </c>
      <c r="D2050" s="75" t="s">
        <v>466</v>
      </c>
      <c r="E2050" s="75" t="str">
        <f t="shared" si="40"/>
        <v>০</v>
      </c>
      <c r="F2050" s="22" t="str">
        <f>"8119457810403"</f>
        <v>8119457810403</v>
      </c>
      <c r="G2050" s="75" t="str">
        <f>"১৩০৩০৬১৮০৭৫২"</f>
        <v>১৩০৩০৬১৮০৭৫২</v>
      </c>
      <c r="H2050" s="75" t="s">
        <v>362</v>
      </c>
      <c r="I2050" s="75" t="s">
        <v>362</v>
      </c>
      <c r="J2050" s="4"/>
    </row>
    <row r="2051" spans="1:10" x14ac:dyDescent="0.25">
      <c r="A2051" s="39">
        <v>2050</v>
      </c>
      <c r="B2051" s="3" t="s">
        <v>1015</v>
      </c>
      <c r="C2051" s="75" t="s">
        <v>983</v>
      </c>
      <c r="D2051" s="75" t="s">
        <v>466</v>
      </c>
      <c r="E2051" s="75" t="str">
        <f t="shared" si="40"/>
        <v>০</v>
      </c>
      <c r="F2051" s="22" t="str">
        <f>"8119457810446"</f>
        <v>8119457810446</v>
      </c>
      <c r="G2051" s="75" t="str">
        <f>"১৩০৩০৬১৮০৭৫১"</f>
        <v>১৩০৩০৬১৮০৭৫১</v>
      </c>
      <c r="H2051" s="75" t="s">
        <v>371</v>
      </c>
      <c r="I2051" s="75" t="s">
        <v>371</v>
      </c>
      <c r="J2051" s="4"/>
    </row>
    <row r="2052" spans="1:10" x14ac:dyDescent="0.25">
      <c r="A2052" s="39">
        <v>2051</v>
      </c>
      <c r="B2052" s="3" t="s">
        <v>511</v>
      </c>
      <c r="C2052" s="75" t="s">
        <v>3057</v>
      </c>
      <c r="D2052" s="75" t="s">
        <v>466</v>
      </c>
      <c r="E2052" s="75" t="str">
        <f t="shared" ref="E2052:E2080" si="41">"০"</f>
        <v>০</v>
      </c>
      <c r="F2052" s="22" t="str">
        <f>"8119457810764"</f>
        <v>8119457810764</v>
      </c>
      <c r="G2052" s="75" t="str">
        <f>"১৩০৩০৬১৮০৭৫০"</f>
        <v>১৩০৩০৬১৮০৭৫০</v>
      </c>
      <c r="H2052" s="75" t="s">
        <v>322</v>
      </c>
      <c r="I2052" s="75" t="s">
        <v>322</v>
      </c>
      <c r="J2052" s="4"/>
    </row>
    <row r="2053" spans="1:10" x14ac:dyDescent="0.25">
      <c r="A2053" s="39">
        <v>2052</v>
      </c>
      <c r="B2053" s="3" t="s">
        <v>813</v>
      </c>
      <c r="C2053" s="75" t="s">
        <v>1016</v>
      </c>
      <c r="D2053" s="75" t="s">
        <v>466</v>
      </c>
      <c r="E2053" s="75" t="str">
        <f t="shared" si="41"/>
        <v>০</v>
      </c>
      <c r="F2053" s="22" t="str">
        <f>"8119457810826"</f>
        <v>8119457810826</v>
      </c>
      <c r="G2053" s="75" t="str">
        <f>"১৩০৩০৬১৮০৭৪৯"</f>
        <v>১৩০৩০৬১৮০৭৪৯</v>
      </c>
      <c r="H2053" s="75" t="s">
        <v>346</v>
      </c>
      <c r="I2053" s="75" t="s">
        <v>346</v>
      </c>
      <c r="J2053" s="4"/>
    </row>
    <row r="2054" spans="1:10" x14ac:dyDescent="0.25">
      <c r="A2054" s="39">
        <v>2053</v>
      </c>
      <c r="B2054" s="3" t="s">
        <v>1017</v>
      </c>
      <c r="C2054" s="75" t="s">
        <v>944</v>
      </c>
      <c r="D2054" s="75" t="s">
        <v>466</v>
      </c>
      <c r="E2054" s="75" t="str">
        <f t="shared" si="41"/>
        <v>০</v>
      </c>
      <c r="F2054" s="22" t="str">
        <f>"8119457810883"</f>
        <v>8119457810883</v>
      </c>
      <c r="G2054" s="75" t="str">
        <f>"১৩০৩০৬১৮০৭৪৮"</f>
        <v>১৩০৩০৬১৮০৭৪৮</v>
      </c>
      <c r="H2054" s="75" t="s">
        <v>322</v>
      </c>
      <c r="I2054" s="75" t="s">
        <v>322</v>
      </c>
      <c r="J2054" s="4"/>
    </row>
    <row r="2055" spans="1:10" x14ac:dyDescent="0.25">
      <c r="A2055" s="39">
        <v>2054</v>
      </c>
      <c r="B2055" s="3" t="s">
        <v>3058</v>
      </c>
      <c r="C2055" s="75" t="s">
        <v>1018</v>
      </c>
      <c r="D2055" s="75" t="s">
        <v>466</v>
      </c>
      <c r="E2055" s="75" t="str">
        <f t="shared" si="41"/>
        <v>০</v>
      </c>
      <c r="F2055" s="22" t="str">
        <f>"8119457810583"</f>
        <v>8119457810583</v>
      </c>
      <c r="G2055" s="75" t="str">
        <f>"১৩০৩০৬১৮০৭৪৭"</f>
        <v>১৩০৩০৬১৮০৭৪৭</v>
      </c>
      <c r="H2055" s="75" t="s">
        <v>322</v>
      </c>
      <c r="I2055" s="75" t="s">
        <v>322</v>
      </c>
      <c r="J2055" s="4"/>
    </row>
    <row r="2056" spans="1:10" x14ac:dyDescent="0.25">
      <c r="A2056" s="39">
        <v>2055</v>
      </c>
      <c r="B2056" s="3" t="s">
        <v>681</v>
      </c>
      <c r="C2056" s="75" t="s">
        <v>648</v>
      </c>
      <c r="D2056" s="75" t="s">
        <v>466</v>
      </c>
      <c r="E2056" s="75" t="str">
        <f t="shared" si="41"/>
        <v>০</v>
      </c>
      <c r="F2056" s="22" t="str">
        <f>"8119457812061"</f>
        <v>8119457812061</v>
      </c>
      <c r="G2056" s="75" t="str">
        <f>"১৩০৩০৬১৮০৭৪৬"</f>
        <v>১৩০৩০৬১৮০৭৪৬</v>
      </c>
      <c r="H2056" s="75" t="s">
        <v>322</v>
      </c>
      <c r="I2056" s="75" t="s">
        <v>322</v>
      </c>
      <c r="J2056" s="4"/>
    </row>
    <row r="2057" spans="1:10" x14ac:dyDescent="0.25">
      <c r="A2057" s="39">
        <v>2056</v>
      </c>
      <c r="B2057" s="3" t="s">
        <v>1019</v>
      </c>
      <c r="C2057" s="75" t="s">
        <v>3059</v>
      </c>
      <c r="D2057" s="75" t="s">
        <v>466</v>
      </c>
      <c r="E2057" s="75" t="str">
        <f t="shared" si="41"/>
        <v>০</v>
      </c>
      <c r="F2057" s="22" t="str">
        <f>"8119457810892"</f>
        <v>8119457810892</v>
      </c>
      <c r="G2057" s="75" t="str">
        <f>"১৩০৩০৬১৮০৭৪৫"</f>
        <v>১৩০৩০৬১৮০৭৪৫</v>
      </c>
      <c r="H2057" s="75" t="s">
        <v>322</v>
      </c>
      <c r="I2057" s="75" t="s">
        <v>322</v>
      </c>
      <c r="J2057" s="4"/>
    </row>
    <row r="2058" spans="1:10" x14ac:dyDescent="0.25">
      <c r="A2058" s="39">
        <v>2057</v>
      </c>
      <c r="B2058" s="3" t="s">
        <v>3005</v>
      </c>
      <c r="C2058" s="75" t="s">
        <v>3060</v>
      </c>
      <c r="D2058" s="75" t="s">
        <v>466</v>
      </c>
      <c r="E2058" s="75" t="str">
        <f t="shared" si="41"/>
        <v>০</v>
      </c>
      <c r="F2058" s="22" t="str">
        <f>"8119457810487"</f>
        <v>8119457810487</v>
      </c>
      <c r="G2058" s="75" t="str">
        <f>"১৩০৩০৬১৮০৭৪৪"</f>
        <v>১৩০৩০৬১৮০৭৪৪</v>
      </c>
      <c r="H2058" s="75" t="s">
        <v>322</v>
      </c>
      <c r="I2058" s="75" t="s">
        <v>322</v>
      </c>
      <c r="J2058" s="4"/>
    </row>
    <row r="2059" spans="1:10" x14ac:dyDescent="0.25">
      <c r="A2059" s="39">
        <v>2058</v>
      </c>
      <c r="B2059" s="3" t="s">
        <v>576</v>
      </c>
      <c r="C2059" s="75" t="s">
        <v>465</v>
      </c>
      <c r="D2059" s="75" t="s">
        <v>466</v>
      </c>
      <c r="E2059" s="75" t="str">
        <f t="shared" si="41"/>
        <v>০</v>
      </c>
      <c r="F2059" s="22" t="str">
        <f>"8119457810469"</f>
        <v>8119457810469</v>
      </c>
      <c r="G2059" s="75" t="str">
        <f>"১৩০৩০৬১৮০৭৪৩"</f>
        <v>১৩০৩০৬১৮০৭৪৩</v>
      </c>
      <c r="H2059" s="75" t="s">
        <v>456</v>
      </c>
      <c r="I2059" s="75" t="s">
        <v>456</v>
      </c>
      <c r="J2059" s="4"/>
    </row>
    <row r="2060" spans="1:10" x14ac:dyDescent="0.25">
      <c r="A2060" s="39">
        <v>2059</v>
      </c>
      <c r="B2060" s="3" t="s">
        <v>1020</v>
      </c>
      <c r="C2060" s="75" t="s">
        <v>1021</v>
      </c>
      <c r="D2060" s="75" t="s">
        <v>466</v>
      </c>
      <c r="E2060" s="75" t="str">
        <f t="shared" si="41"/>
        <v>০</v>
      </c>
      <c r="F2060" s="22" t="str">
        <f>"8119457810975"</f>
        <v>8119457810975</v>
      </c>
      <c r="G2060" s="75" t="str">
        <f>"১৩০৩০৬১৮০৭৪২"</f>
        <v>১৩০৩০৬১৮০৭৪২</v>
      </c>
      <c r="H2060" s="75" t="s">
        <v>385</v>
      </c>
      <c r="I2060" s="75" t="s">
        <v>385</v>
      </c>
      <c r="J2060" s="4"/>
    </row>
    <row r="2061" spans="1:10" x14ac:dyDescent="0.25">
      <c r="A2061" s="39">
        <v>2060</v>
      </c>
      <c r="B2061" s="3" t="s">
        <v>1022</v>
      </c>
      <c r="C2061" s="75" t="s">
        <v>1023</v>
      </c>
      <c r="D2061" s="75" t="s">
        <v>466</v>
      </c>
      <c r="E2061" s="75" t="str">
        <f t="shared" si="41"/>
        <v>০</v>
      </c>
      <c r="F2061" s="22" t="str">
        <f>"8119457812489"</f>
        <v>8119457812489</v>
      </c>
      <c r="G2061" s="75" t="str">
        <f>"১৩০৩০৬১৮০৭৪১"</f>
        <v>১৩০৩০৬১৮০৭৪১</v>
      </c>
      <c r="H2061" s="75" t="s">
        <v>376</v>
      </c>
      <c r="I2061" s="75" t="s">
        <v>376</v>
      </c>
      <c r="J2061" s="4"/>
    </row>
    <row r="2062" spans="1:10" x14ac:dyDescent="0.25">
      <c r="A2062" s="39">
        <v>2061</v>
      </c>
      <c r="B2062" s="3" t="s">
        <v>1024</v>
      </c>
      <c r="C2062" s="75" t="s">
        <v>1023</v>
      </c>
      <c r="D2062" s="75" t="s">
        <v>466</v>
      </c>
      <c r="E2062" s="75" t="str">
        <f t="shared" si="41"/>
        <v>০</v>
      </c>
      <c r="F2062" s="22" t="str">
        <f>"8119457812490"</f>
        <v>8119457812490</v>
      </c>
      <c r="G2062" s="75" t="str">
        <f>"১৩০৩০৬১৮০৭৪০"</f>
        <v>১৩০৩০৬১৮০৭৪০</v>
      </c>
      <c r="H2062" s="75" t="s">
        <v>371</v>
      </c>
      <c r="I2062" s="75" t="s">
        <v>371</v>
      </c>
      <c r="J2062" s="4"/>
    </row>
    <row r="2063" spans="1:10" x14ac:dyDescent="0.25">
      <c r="A2063" s="39">
        <v>2062</v>
      </c>
      <c r="B2063" s="3" t="s">
        <v>465</v>
      </c>
      <c r="C2063" s="75" t="s">
        <v>1025</v>
      </c>
      <c r="D2063" s="75" t="s">
        <v>466</v>
      </c>
      <c r="E2063" s="75" t="str">
        <f t="shared" si="41"/>
        <v>০</v>
      </c>
      <c r="F2063" s="22" t="str">
        <f>"8119457810463"</f>
        <v>8119457810463</v>
      </c>
      <c r="G2063" s="75" t="str">
        <f>"১৩০৩০৬১৮০৭৩৯"</f>
        <v>১৩০৩০৬১৮০৭৩৯</v>
      </c>
      <c r="H2063" s="75" t="s">
        <v>346</v>
      </c>
      <c r="I2063" s="75" t="s">
        <v>346</v>
      </c>
      <c r="J2063" s="4"/>
    </row>
    <row r="2064" spans="1:10" x14ac:dyDescent="0.25">
      <c r="A2064" s="39">
        <v>2063</v>
      </c>
      <c r="B2064" s="3" t="s">
        <v>679</v>
      </c>
      <c r="C2064" s="75" t="s">
        <v>944</v>
      </c>
      <c r="D2064" s="75" t="s">
        <v>466</v>
      </c>
      <c r="E2064" s="75" t="str">
        <f t="shared" si="41"/>
        <v>০</v>
      </c>
      <c r="F2064" s="22" t="str">
        <f>"8119457812475"</f>
        <v>8119457812475</v>
      </c>
      <c r="G2064" s="75" t="str">
        <f>"১৩০৩০৬১৮০৭৩৮"</f>
        <v>১৩০৩০৬১৮০৭৩৮</v>
      </c>
      <c r="H2064" s="75" t="s">
        <v>322</v>
      </c>
      <c r="I2064" s="75" t="s">
        <v>322</v>
      </c>
      <c r="J2064" s="4"/>
    </row>
    <row r="2065" spans="1:10" x14ac:dyDescent="0.25">
      <c r="A2065" s="39">
        <v>2064</v>
      </c>
      <c r="B2065" s="3" t="s">
        <v>952</v>
      </c>
      <c r="C2065" s="75" t="s">
        <v>1026</v>
      </c>
      <c r="D2065" s="75" t="s">
        <v>466</v>
      </c>
      <c r="E2065" s="75" t="str">
        <f t="shared" si="41"/>
        <v>০</v>
      </c>
      <c r="F2065" s="22" t="str">
        <f>"8119457000049"</f>
        <v>8119457000049</v>
      </c>
      <c r="G2065" s="75" t="str">
        <f>"১৩০৩০৬১৮০৭৩৭"</f>
        <v>১৩০৩০৬১৮০৭৩৭</v>
      </c>
      <c r="H2065" s="75" t="s">
        <v>385</v>
      </c>
      <c r="I2065" s="75" t="s">
        <v>385</v>
      </c>
      <c r="J2065" s="4"/>
    </row>
    <row r="2066" spans="1:10" x14ac:dyDescent="0.25">
      <c r="A2066" s="39">
        <v>2065</v>
      </c>
      <c r="B2066" s="3" t="s">
        <v>1027</v>
      </c>
      <c r="C2066" s="75" t="s">
        <v>1028</v>
      </c>
      <c r="D2066" s="75" t="s">
        <v>466</v>
      </c>
      <c r="E2066" s="75" t="str">
        <f t="shared" si="41"/>
        <v>০</v>
      </c>
      <c r="F2066" s="22" t="str">
        <f>"8119457810907"</f>
        <v>8119457810907</v>
      </c>
      <c r="G2066" s="75" t="str">
        <f>"১৩০৩০৬১৮০৭৩৬"</f>
        <v>১৩০৩০৬১৮০৭৩৬</v>
      </c>
      <c r="H2066" s="75" t="s">
        <v>322</v>
      </c>
      <c r="I2066" s="75" t="s">
        <v>322</v>
      </c>
      <c r="J2066" s="4"/>
    </row>
    <row r="2067" spans="1:10" x14ac:dyDescent="0.25">
      <c r="A2067" s="39">
        <v>2066</v>
      </c>
      <c r="B2067" s="3" t="s">
        <v>1029</v>
      </c>
      <c r="C2067" s="75" t="s">
        <v>1014</v>
      </c>
      <c r="D2067" s="75" t="s">
        <v>466</v>
      </c>
      <c r="E2067" s="75" t="str">
        <f t="shared" si="41"/>
        <v>০</v>
      </c>
      <c r="F2067" s="22" t="str">
        <f>"8119457810508"</f>
        <v>8119457810508</v>
      </c>
      <c r="G2067" s="75" t="str">
        <f>"১৩০৩০৬১৮০৭৩৫"</f>
        <v>১৩০৩০৬১৮০৭৩৫</v>
      </c>
      <c r="H2067" s="75" t="s">
        <v>362</v>
      </c>
      <c r="I2067" s="75" t="s">
        <v>362</v>
      </c>
      <c r="J2067" s="4"/>
    </row>
    <row r="2068" spans="1:10" x14ac:dyDescent="0.25">
      <c r="A2068" s="39">
        <v>2067</v>
      </c>
      <c r="B2068" s="3" t="s">
        <v>1030</v>
      </c>
      <c r="C2068" s="75" t="s">
        <v>1031</v>
      </c>
      <c r="D2068" s="75" t="s">
        <v>466</v>
      </c>
      <c r="E2068" s="75" t="str">
        <f t="shared" si="41"/>
        <v>০</v>
      </c>
      <c r="F2068" s="22" t="str">
        <f>"8119457810827"</f>
        <v>8119457810827</v>
      </c>
      <c r="G2068" s="75" t="str">
        <f>"১৩০৩০৬১৮০৭৩৪"</f>
        <v>১৩০৩০৬১৮০৭৩৪</v>
      </c>
      <c r="H2068" s="75" t="s">
        <v>385</v>
      </c>
      <c r="I2068" s="75" t="s">
        <v>385</v>
      </c>
      <c r="J2068" s="4"/>
    </row>
    <row r="2069" spans="1:10" x14ac:dyDescent="0.25">
      <c r="A2069" s="39">
        <v>2068</v>
      </c>
      <c r="B2069" s="3" t="s">
        <v>568</v>
      </c>
      <c r="C2069" s="75" t="s">
        <v>1032</v>
      </c>
      <c r="D2069" s="75" t="s">
        <v>466</v>
      </c>
      <c r="E2069" s="75" t="str">
        <f t="shared" si="41"/>
        <v>০</v>
      </c>
      <c r="F2069" s="22" t="str">
        <f>"8119457810636"</f>
        <v>8119457810636</v>
      </c>
      <c r="G2069" s="75" t="str">
        <f>"১৩০৩০৬১৮০৭৩৩"</f>
        <v>১৩০৩০৬১৮০৭৩৩</v>
      </c>
      <c r="H2069" s="75" t="s">
        <v>392</v>
      </c>
      <c r="I2069" s="75" t="s">
        <v>392</v>
      </c>
      <c r="J2069" s="4"/>
    </row>
    <row r="2070" spans="1:10" x14ac:dyDescent="0.25">
      <c r="A2070" s="39">
        <v>2069</v>
      </c>
      <c r="B2070" s="3" t="s">
        <v>1033</v>
      </c>
      <c r="C2070" s="75" t="s">
        <v>1034</v>
      </c>
      <c r="D2070" s="75" t="s">
        <v>466</v>
      </c>
      <c r="E2070" s="75" t="str">
        <f t="shared" si="41"/>
        <v>০</v>
      </c>
      <c r="F2070" s="22" t="str">
        <f>"8119457810475"</f>
        <v>8119457810475</v>
      </c>
      <c r="G2070" s="75" t="str">
        <f>"১৩০৩০৬১৮০৭৩২"</f>
        <v>১৩০৩০৬১৮০৭৩২</v>
      </c>
      <c r="H2070" s="75" t="s">
        <v>316</v>
      </c>
      <c r="I2070" s="75" t="s">
        <v>316</v>
      </c>
      <c r="J2070" s="4"/>
    </row>
    <row r="2071" spans="1:10" x14ac:dyDescent="0.25">
      <c r="A2071" s="39">
        <v>2070</v>
      </c>
      <c r="B2071" s="3" t="s">
        <v>1035</v>
      </c>
      <c r="C2071" s="75" t="s">
        <v>1036</v>
      </c>
      <c r="D2071" s="75" t="s">
        <v>466</v>
      </c>
      <c r="E2071" s="75" t="str">
        <f t="shared" si="41"/>
        <v>০</v>
      </c>
      <c r="F2071" s="22" t="str">
        <f>"8119457810815"</f>
        <v>8119457810815</v>
      </c>
      <c r="G2071" s="75" t="str">
        <f>"১৩০৩০৬১৮০৭৩১"</f>
        <v>১৩০৩০৬১৮০৭৩১</v>
      </c>
      <c r="H2071" s="75" t="s">
        <v>346</v>
      </c>
      <c r="I2071" s="75" t="s">
        <v>346</v>
      </c>
      <c r="J2071" s="4"/>
    </row>
    <row r="2072" spans="1:10" x14ac:dyDescent="0.25">
      <c r="A2072" s="39">
        <v>2071</v>
      </c>
      <c r="B2072" s="3" t="s">
        <v>1037</v>
      </c>
      <c r="C2072" s="75" t="s">
        <v>1038</v>
      </c>
      <c r="D2072" s="75" t="s">
        <v>466</v>
      </c>
      <c r="E2072" s="75" t="str">
        <f t="shared" si="41"/>
        <v>০</v>
      </c>
      <c r="F2072" s="22" t="str">
        <f>"8119457810893"</f>
        <v>8119457810893</v>
      </c>
      <c r="G2072" s="75" t="str">
        <f>"১৩০৩০৬১৮০৭৩০"</f>
        <v>১৩০৩০৬১৮০৭৩০</v>
      </c>
      <c r="H2072" s="75" t="s">
        <v>349</v>
      </c>
      <c r="I2072" s="75" t="s">
        <v>349</v>
      </c>
      <c r="J2072" s="4"/>
    </row>
    <row r="2073" spans="1:10" x14ac:dyDescent="0.25">
      <c r="A2073" s="39">
        <v>2072</v>
      </c>
      <c r="B2073" s="3" t="s">
        <v>369</v>
      </c>
      <c r="C2073" s="75" t="s">
        <v>1039</v>
      </c>
      <c r="D2073" s="75" t="s">
        <v>466</v>
      </c>
      <c r="E2073" s="75" t="str">
        <f t="shared" si="41"/>
        <v>০</v>
      </c>
      <c r="F2073" s="22" t="str">
        <f>"8119457810490"</f>
        <v>8119457810490</v>
      </c>
      <c r="G2073" s="75" t="str">
        <f>"১৩০৩০৬১৮০৭২৯"</f>
        <v>১৩০৩০৬১৮০৭২৯</v>
      </c>
      <c r="H2073" s="75" t="s">
        <v>346</v>
      </c>
      <c r="I2073" s="75" t="s">
        <v>346</v>
      </c>
      <c r="J2073" s="4"/>
    </row>
    <row r="2074" spans="1:10" x14ac:dyDescent="0.25">
      <c r="A2074" s="39">
        <v>2073</v>
      </c>
      <c r="B2074" s="3" t="s">
        <v>703</v>
      </c>
      <c r="C2074" s="75" t="s">
        <v>2953</v>
      </c>
      <c r="D2074" s="75" t="s">
        <v>466</v>
      </c>
      <c r="E2074" s="75" t="str">
        <f t="shared" si="41"/>
        <v>০</v>
      </c>
      <c r="F2074" s="22" t="str">
        <f>"8119457810518"</f>
        <v>8119457810518</v>
      </c>
      <c r="G2074" s="75" t="str">
        <f>"১৩০৩০৬১৮০৭২৮"</f>
        <v>১৩০৩০৬১৮০৭২৮</v>
      </c>
      <c r="H2074" s="75" t="s">
        <v>322</v>
      </c>
      <c r="I2074" s="75" t="s">
        <v>322</v>
      </c>
      <c r="J2074" s="4"/>
    </row>
    <row r="2075" spans="1:10" x14ac:dyDescent="0.25">
      <c r="A2075" s="39">
        <v>2074</v>
      </c>
      <c r="B2075" s="3" t="s">
        <v>1040</v>
      </c>
      <c r="C2075" s="75" t="s">
        <v>3061</v>
      </c>
      <c r="D2075" s="75" t="s">
        <v>466</v>
      </c>
      <c r="E2075" s="75" t="str">
        <f t="shared" si="41"/>
        <v>০</v>
      </c>
      <c r="F2075" s="22" t="str">
        <f>"8119457810882"</f>
        <v>8119457810882</v>
      </c>
      <c r="G2075" s="75" t="str">
        <f>"১৩০৩০৬১৮০৭২৭"</f>
        <v>১৩০৩০৬১৮০৭২৭</v>
      </c>
      <c r="H2075" s="75" t="s">
        <v>322</v>
      </c>
      <c r="I2075" s="75" t="s">
        <v>322</v>
      </c>
      <c r="J2075" s="4"/>
    </row>
    <row r="2076" spans="1:10" x14ac:dyDescent="0.25">
      <c r="A2076" s="39">
        <v>2075</v>
      </c>
      <c r="B2076" s="3" t="s">
        <v>1041</v>
      </c>
      <c r="C2076" s="75" t="s">
        <v>1042</v>
      </c>
      <c r="D2076" s="75" t="s">
        <v>466</v>
      </c>
      <c r="E2076" s="75" t="str">
        <f t="shared" si="41"/>
        <v>০</v>
      </c>
      <c r="F2076" s="22" t="str">
        <f>"8119457810812"</f>
        <v>8119457810812</v>
      </c>
      <c r="G2076" s="75" t="str">
        <f>"১৩০৩০৬১৮০৭২৬"</f>
        <v>১৩০৩০৬১৮০৭২৬</v>
      </c>
      <c r="H2076" s="75" t="s">
        <v>346</v>
      </c>
      <c r="I2076" s="75" t="s">
        <v>346</v>
      </c>
      <c r="J2076" s="4"/>
    </row>
    <row r="2077" spans="1:10" x14ac:dyDescent="0.25">
      <c r="A2077" s="39">
        <v>2076</v>
      </c>
      <c r="B2077" s="3" t="s">
        <v>871</v>
      </c>
      <c r="C2077" s="75" t="s">
        <v>1043</v>
      </c>
      <c r="D2077" s="75" t="s">
        <v>466</v>
      </c>
      <c r="E2077" s="75" t="str">
        <f t="shared" si="41"/>
        <v>০</v>
      </c>
      <c r="F2077" s="22" t="str">
        <f>"8119457810900"</f>
        <v>8119457810900</v>
      </c>
      <c r="G2077" s="75" t="str">
        <f>"১৩০৩০৬১৮০৭২৫"</f>
        <v>১৩০৩০৬১৮০৭২৫</v>
      </c>
      <c r="H2077" s="75" t="s">
        <v>357</v>
      </c>
      <c r="I2077" s="75" t="s">
        <v>357</v>
      </c>
      <c r="J2077" s="4"/>
    </row>
    <row r="2078" spans="1:10" x14ac:dyDescent="0.25">
      <c r="A2078" s="39">
        <v>2077</v>
      </c>
      <c r="B2078" s="3" t="s">
        <v>576</v>
      </c>
      <c r="C2078" s="75" t="s">
        <v>944</v>
      </c>
      <c r="D2078" s="75" t="s">
        <v>466</v>
      </c>
      <c r="E2078" s="75" t="str">
        <f t="shared" si="41"/>
        <v>০</v>
      </c>
      <c r="F2078" s="22" t="str">
        <f>"8119457810899"</f>
        <v>8119457810899</v>
      </c>
      <c r="G2078" s="75" t="str">
        <f>"১৩০৩০৬১৮০৭২৪"</f>
        <v>১৩০৩০৬১৮০৭২৪</v>
      </c>
      <c r="H2078" s="75" t="s">
        <v>322</v>
      </c>
      <c r="I2078" s="75" t="s">
        <v>322</v>
      </c>
      <c r="J2078" s="4"/>
    </row>
    <row r="2079" spans="1:10" x14ac:dyDescent="0.25">
      <c r="A2079" s="39">
        <v>2078</v>
      </c>
      <c r="B2079" s="3" t="s">
        <v>1044</v>
      </c>
      <c r="C2079" s="75" t="s">
        <v>1045</v>
      </c>
      <c r="D2079" s="75" t="s">
        <v>466</v>
      </c>
      <c r="E2079" s="75" t="str">
        <f t="shared" si="41"/>
        <v>০</v>
      </c>
      <c r="F2079" s="22" t="str">
        <f>"81194578112090"</f>
        <v>81194578112090</v>
      </c>
      <c r="G2079" s="75" t="str">
        <f>"১৩০৩০৬১৮০৭২৩"</f>
        <v>১৩০৩০৬১৮০৭২৩</v>
      </c>
      <c r="H2079" s="75" t="s">
        <v>362</v>
      </c>
      <c r="I2079" s="75" t="s">
        <v>362</v>
      </c>
      <c r="J2079" s="4"/>
    </row>
    <row r="2080" spans="1:10" x14ac:dyDescent="0.25">
      <c r="A2080" s="39">
        <v>2079</v>
      </c>
      <c r="B2080" s="3" t="s">
        <v>1046</v>
      </c>
      <c r="C2080" s="75" t="s">
        <v>1047</v>
      </c>
      <c r="D2080" s="75" t="s">
        <v>466</v>
      </c>
      <c r="E2080" s="75" t="str">
        <f t="shared" si="41"/>
        <v>০</v>
      </c>
      <c r="F2080" s="22" t="str">
        <f>"8119457810797"</f>
        <v>8119457810797</v>
      </c>
      <c r="G2080" s="75" t="str">
        <f>"১৩০৩০৬১৮০৭২২"</f>
        <v>১৩০৩০৬১৮০৭২২</v>
      </c>
      <c r="H2080" s="75" t="s">
        <v>364</v>
      </c>
      <c r="I2080" s="75" t="s">
        <v>364</v>
      </c>
      <c r="J2080" s="4"/>
    </row>
    <row r="2081" spans="1:10" x14ac:dyDescent="0.25">
      <c r="A2081" s="39">
        <v>2080</v>
      </c>
      <c r="B2081" s="3" t="s">
        <v>3062</v>
      </c>
      <c r="C2081" s="75" t="s">
        <v>3063</v>
      </c>
      <c r="D2081" s="75" t="s">
        <v>466</v>
      </c>
      <c r="E2081" s="75" t="str">
        <f>"০১৭৪৩-৫১৩৩৪৮"</f>
        <v>০১৭৪৩-৫১৩৩৪৮</v>
      </c>
      <c r="F2081" s="22" t="str">
        <f>"8119457810850"</f>
        <v>8119457810850</v>
      </c>
      <c r="G2081" s="75" t="str">
        <f>"১৩০৩০৬১৮০৭২১"</f>
        <v>১৩০৩০৬১৮০৭২১</v>
      </c>
      <c r="H2081" s="75" t="s">
        <v>322</v>
      </c>
      <c r="I2081" s="75" t="s">
        <v>322</v>
      </c>
      <c r="J2081" s="4"/>
    </row>
    <row r="2082" spans="1:10" x14ac:dyDescent="0.25">
      <c r="A2082" s="39">
        <v>2081</v>
      </c>
      <c r="B2082" s="3" t="s">
        <v>1048</v>
      </c>
      <c r="C2082" s="75" t="s">
        <v>3064</v>
      </c>
      <c r="D2082" s="75" t="s">
        <v>466</v>
      </c>
      <c r="E2082" s="75" t="str">
        <f t="shared" ref="E2082:E2117" si="42">"০"</f>
        <v>০</v>
      </c>
      <c r="F2082" s="22" t="str">
        <f>"8119457812476"</f>
        <v>8119457812476</v>
      </c>
      <c r="G2082" s="75" t="str">
        <f>"১৩০৩০৬১৮০৭২০"</f>
        <v>১৩০৩০৬১৮০৭২০</v>
      </c>
      <c r="H2082" s="75" t="s">
        <v>349</v>
      </c>
      <c r="I2082" s="75" t="s">
        <v>349</v>
      </c>
      <c r="J2082" s="4"/>
    </row>
    <row r="2083" spans="1:10" x14ac:dyDescent="0.25">
      <c r="A2083" s="39">
        <v>2082</v>
      </c>
      <c r="B2083" s="3" t="s">
        <v>1049</v>
      </c>
      <c r="C2083" s="75" t="s">
        <v>1050</v>
      </c>
      <c r="D2083" s="75" t="s">
        <v>466</v>
      </c>
      <c r="E2083" s="75" t="str">
        <f t="shared" si="42"/>
        <v>০</v>
      </c>
      <c r="F2083" s="22" t="str">
        <f>"8119457810526"</f>
        <v>8119457810526</v>
      </c>
      <c r="G2083" s="75" t="str">
        <f>"১৩০৩০৬১৮০৭১৯"</f>
        <v>১৩০৩০৬১৮০৭১৯</v>
      </c>
      <c r="H2083" s="75" t="s">
        <v>371</v>
      </c>
      <c r="I2083" s="75" t="s">
        <v>371</v>
      </c>
      <c r="J2083" s="4"/>
    </row>
    <row r="2084" spans="1:10" x14ac:dyDescent="0.25">
      <c r="A2084" s="39">
        <v>2083</v>
      </c>
      <c r="B2084" s="3" t="s">
        <v>343</v>
      </c>
      <c r="C2084" s="75" t="s">
        <v>1051</v>
      </c>
      <c r="D2084" s="75" t="s">
        <v>466</v>
      </c>
      <c r="E2084" s="75" t="str">
        <f t="shared" si="42"/>
        <v>০</v>
      </c>
      <c r="F2084" s="22" t="str">
        <f>"8119457810537"</f>
        <v>8119457810537</v>
      </c>
      <c r="G2084" s="75" t="str">
        <f>"১৩০৩০৬১৮০৭১৮"</f>
        <v>১৩০৩০৬১৮০৭১৮</v>
      </c>
      <c r="H2084" s="75" t="s">
        <v>323</v>
      </c>
      <c r="I2084" s="75" t="s">
        <v>323</v>
      </c>
      <c r="J2084" s="4"/>
    </row>
    <row r="2085" spans="1:10" x14ac:dyDescent="0.25">
      <c r="A2085" s="39">
        <v>2084</v>
      </c>
      <c r="B2085" s="3" t="s">
        <v>1052</v>
      </c>
      <c r="C2085" s="75" t="s">
        <v>3065</v>
      </c>
      <c r="D2085" s="75" t="s">
        <v>466</v>
      </c>
      <c r="E2085" s="75" t="str">
        <f t="shared" si="42"/>
        <v>০</v>
      </c>
      <c r="F2085" s="22" t="str">
        <f>"8119457810918"</f>
        <v>8119457810918</v>
      </c>
      <c r="G2085" s="75" t="str">
        <f>"১৩০৩০৬১৮০৭১৭"</f>
        <v>১৩০৩০৬১৮০৭১৭</v>
      </c>
      <c r="H2085" s="75" t="s">
        <v>376</v>
      </c>
      <c r="I2085" s="75" t="s">
        <v>376</v>
      </c>
      <c r="J2085" s="4"/>
    </row>
    <row r="2086" spans="1:10" x14ac:dyDescent="0.25">
      <c r="A2086" s="39">
        <v>2085</v>
      </c>
      <c r="B2086" s="3" t="s">
        <v>1053</v>
      </c>
      <c r="C2086" s="75" t="s">
        <v>3066</v>
      </c>
      <c r="D2086" s="75" t="s">
        <v>466</v>
      </c>
      <c r="E2086" s="75" t="str">
        <f t="shared" si="42"/>
        <v>০</v>
      </c>
      <c r="F2086" s="22" t="str">
        <f>"8119457810931"</f>
        <v>8119457810931</v>
      </c>
      <c r="G2086" s="75" t="str">
        <f>"১৩০৩০৬১৮০৭১৬"</f>
        <v>১৩০৩০৬১৮০৭১৬</v>
      </c>
      <c r="H2086" s="75" t="s">
        <v>371</v>
      </c>
      <c r="I2086" s="75" t="s">
        <v>371</v>
      </c>
      <c r="J2086" s="4"/>
    </row>
    <row r="2087" spans="1:10" x14ac:dyDescent="0.25">
      <c r="A2087" s="39">
        <v>2086</v>
      </c>
      <c r="B2087" s="3" t="s">
        <v>3021</v>
      </c>
      <c r="C2087" s="75" t="s">
        <v>1054</v>
      </c>
      <c r="D2087" s="75" t="s">
        <v>466</v>
      </c>
      <c r="E2087" s="75" t="str">
        <f t="shared" si="42"/>
        <v>০</v>
      </c>
      <c r="F2087" s="22" t="str">
        <f>"8119457810607"</f>
        <v>8119457810607</v>
      </c>
      <c r="G2087" s="75" t="str">
        <f>"১৩০৩০৬১৮০৭১৫"</f>
        <v>১৩০৩০৬১৮০৭১৫</v>
      </c>
      <c r="H2087" s="75" t="s">
        <v>362</v>
      </c>
      <c r="I2087" s="75" t="s">
        <v>362</v>
      </c>
      <c r="J2087" s="4"/>
    </row>
    <row r="2088" spans="1:10" x14ac:dyDescent="0.25">
      <c r="A2088" s="39">
        <v>2087</v>
      </c>
      <c r="B2088" s="3" t="s">
        <v>1055</v>
      </c>
      <c r="C2088" s="75" t="s">
        <v>1056</v>
      </c>
      <c r="D2088" s="75" t="s">
        <v>466</v>
      </c>
      <c r="E2088" s="75" t="str">
        <f t="shared" si="42"/>
        <v>০</v>
      </c>
      <c r="F2088" s="22" t="str">
        <f>"8119457"</f>
        <v>8119457</v>
      </c>
      <c r="G2088" s="75" t="str">
        <f>"১৩০৩০৬১৮০৭১৪"</f>
        <v>১৩০৩০৬১৮০৭১৪</v>
      </c>
      <c r="H2088" s="75" t="s">
        <v>376</v>
      </c>
      <c r="I2088" s="75" t="s">
        <v>376</v>
      </c>
      <c r="J2088" s="4"/>
    </row>
    <row r="2089" spans="1:10" x14ac:dyDescent="0.25">
      <c r="A2089" s="39">
        <v>2088</v>
      </c>
      <c r="B2089" s="3" t="s">
        <v>1057</v>
      </c>
      <c r="C2089" s="75" t="s">
        <v>1036</v>
      </c>
      <c r="D2089" s="75" t="s">
        <v>466</v>
      </c>
      <c r="E2089" s="75" t="str">
        <f t="shared" si="42"/>
        <v>০</v>
      </c>
      <c r="F2089" s="22" t="str">
        <f>"8119457810880"</f>
        <v>8119457810880</v>
      </c>
      <c r="G2089" s="75" t="str">
        <f>"১৩০৩০৬১৮০৭১৩"</f>
        <v>১৩০৩০৬১৮০৭১৩</v>
      </c>
      <c r="H2089" s="75" t="s">
        <v>385</v>
      </c>
      <c r="I2089" s="75" t="s">
        <v>385</v>
      </c>
      <c r="J2089" s="4"/>
    </row>
    <row r="2090" spans="1:10" x14ac:dyDescent="0.25">
      <c r="A2090" s="39">
        <v>2089</v>
      </c>
      <c r="B2090" s="3" t="s">
        <v>1058</v>
      </c>
      <c r="C2090" s="75" t="s">
        <v>1059</v>
      </c>
      <c r="D2090" s="75" t="s">
        <v>466</v>
      </c>
      <c r="E2090" s="75" t="str">
        <f t="shared" si="42"/>
        <v>০</v>
      </c>
      <c r="F2090" s="22" t="str">
        <f>"8119457810497"</f>
        <v>8119457810497</v>
      </c>
      <c r="G2090" s="75" t="str">
        <f>"১৩০৩০৬১৮০৭১২"</f>
        <v>১৩০৩০৬১৮০৭১২</v>
      </c>
      <c r="H2090" s="75" t="s">
        <v>371</v>
      </c>
      <c r="I2090" s="75" t="s">
        <v>371</v>
      </c>
      <c r="J2090" s="4"/>
    </row>
    <row r="2091" spans="1:10" x14ac:dyDescent="0.25">
      <c r="A2091" s="39">
        <v>2090</v>
      </c>
      <c r="B2091" s="3" t="s">
        <v>1060</v>
      </c>
      <c r="C2091" s="75" t="s">
        <v>3067</v>
      </c>
      <c r="D2091" s="75" t="s">
        <v>466</v>
      </c>
      <c r="E2091" s="75" t="str">
        <f t="shared" si="42"/>
        <v>০</v>
      </c>
      <c r="F2091" s="22" t="str">
        <f>"8119457810914"</f>
        <v>8119457810914</v>
      </c>
      <c r="G2091" s="75" t="str">
        <f>"১৩০৩০৬১৮০৭১১"</f>
        <v>১৩০৩০৬১৮০৭১১</v>
      </c>
      <c r="H2091" s="75" t="s">
        <v>371</v>
      </c>
      <c r="I2091" s="75" t="s">
        <v>371</v>
      </c>
      <c r="J2091" s="4"/>
    </row>
    <row r="2092" spans="1:10" x14ac:dyDescent="0.25">
      <c r="A2092" s="39">
        <v>2091</v>
      </c>
      <c r="B2092" s="3" t="s">
        <v>2054</v>
      </c>
      <c r="C2092" s="75" t="s">
        <v>976</v>
      </c>
      <c r="D2092" s="75" t="s">
        <v>466</v>
      </c>
      <c r="E2092" s="75" t="str">
        <f t="shared" si="42"/>
        <v>০</v>
      </c>
      <c r="F2092" s="22" t="str">
        <f>"8119457000001"</f>
        <v>8119457000001</v>
      </c>
      <c r="G2092" s="75" t="str">
        <f>"১৩০৩০৬১৮০৭১০"</f>
        <v>১৩০৩০৬১৮০৭১০</v>
      </c>
      <c r="H2092" s="75" t="s">
        <v>346</v>
      </c>
      <c r="I2092" s="75" t="s">
        <v>346</v>
      </c>
      <c r="J2092" s="4"/>
    </row>
    <row r="2093" spans="1:10" x14ac:dyDescent="0.25">
      <c r="A2093" s="39">
        <v>2092</v>
      </c>
      <c r="B2093" s="3" t="s">
        <v>818</v>
      </c>
      <c r="C2093" s="75" t="s">
        <v>1061</v>
      </c>
      <c r="D2093" s="75" t="s">
        <v>466</v>
      </c>
      <c r="E2093" s="75" t="str">
        <f t="shared" si="42"/>
        <v>০</v>
      </c>
      <c r="F2093" s="22" t="str">
        <f>"8119457810630"</f>
        <v>8119457810630</v>
      </c>
      <c r="G2093" s="75" t="str">
        <f>"১৩০৩০৬১৮০৭০৯"</f>
        <v>১৩০৩০৬১৮০৭০৯</v>
      </c>
      <c r="H2093" s="75" t="s">
        <v>322</v>
      </c>
      <c r="I2093" s="75" t="s">
        <v>322</v>
      </c>
      <c r="J2093" s="4"/>
    </row>
    <row r="2094" spans="1:10" x14ac:dyDescent="0.25">
      <c r="A2094" s="39">
        <v>2093</v>
      </c>
      <c r="B2094" s="3" t="s">
        <v>796</v>
      </c>
      <c r="C2094" s="75" t="s">
        <v>3068</v>
      </c>
      <c r="D2094" s="75" t="s">
        <v>466</v>
      </c>
      <c r="E2094" s="75" t="str">
        <f t="shared" si="42"/>
        <v>০</v>
      </c>
      <c r="F2094" s="22" t="str">
        <f>"8119457810898"</f>
        <v>8119457810898</v>
      </c>
      <c r="G2094" s="75" t="str">
        <f>"১৩০৩০৬১৮০৭০৮"</f>
        <v>১৩০৩০৬১৮০৭০৮</v>
      </c>
      <c r="H2094" s="75" t="s">
        <v>322</v>
      </c>
      <c r="I2094" s="75" t="s">
        <v>322</v>
      </c>
      <c r="J2094" s="4"/>
    </row>
    <row r="2095" spans="1:10" x14ac:dyDescent="0.25">
      <c r="A2095" s="39">
        <v>2094</v>
      </c>
      <c r="B2095" s="3" t="s">
        <v>1062</v>
      </c>
      <c r="C2095" s="75" t="s">
        <v>1063</v>
      </c>
      <c r="D2095" s="75" t="s">
        <v>466</v>
      </c>
      <c r="E2095" s="75" t="str">
        <f t="shared" si="42"/>
        <v>০</v>
      </c>
      <c r="F2095" s="22" t="str">
        <f>"8119457810506"</f>
        <v>8119457810506</v>
      </c>
      <c r="G2095" s="75" t="str">
        <f>"১৩০৩০৬১৮০৭০৭"</f>
        <v>১৩০৩০৬১৮০৭০৭</v>
      </c>
      <c r="H2095" s="75" t="s">
        <v>376</v>
      </c>
      <c r="I2095" s="75" t="s">
        <v>376</v>
      </c>
      <c r="J2095" s="4"/>
    </row>
    <row r="2096" spans="1:10" x14ac:dyDescent="0.25">
      <c r="A2096" s="39">
        <v>2095</v>
      </c>
      <c r="B2096" s="3" t="s">
        <v>1064</v>
      </c>
      <c r="C2096" s="75" t="s">
        <v>1065</v>
      </c>
      <c r="D2096" s="75" t="s">
        <v>466</v>
      </c>
      <c r="E2096" s="75" t="str">
        <f t="shared" si="42"/>
        <v>০</v>
      </c>
      <c r="F2096" s="22" t="str">
        <f>"8119457000003"</f>
        <v>8119457000003</v>
      </c>
      <c r="G2096" s="75" t="str">
        <f>"১৩০৩০৬১৮০৭০৬"</f>
        <v>১৩০৩০৬১৮০৭০৬</v>
      </c>
      <c r="H2096" s="75" t="s">
        <v>371</v>
      </c>
      <c r="I2096" s="75" t="s">
        <v>371</v>
      </c>
      <c r="J2096" s="4"/>
    </row>
    <row r="2097" spans="1:10" x14ac:dyDescent="0.25">
      <c r="A2097" s="39">
        <v>2096</v>
      </c>
      <c r="B2097" s="3" t="s">
        <v>745</v>
      </c>
      <c r="C2097" s="75" t="s">
        <v>3069</v>
      </c>
      <c r="D2097" s="75" t="s">
        <v>466</v>
      </c>
      <c r="E2097" s="75" t="str">
        <f t="shared" si="42"/>
        <v>০</v>
      </c>
      <c r="F2097" s="22" t="str">
        <f>"8119457812486"</f>
        <v>8119457812486</v>
      </c>
      <c r="G2097" s="75" t="str">
        <f>"১৩০৩০৬১৮০৭০৫"</f>
        <v>১৩০৩০৬১৮০৭০৫</v>
      </c>
      <c r="H2097" s="75" t="s">
        <v>392</v>
      </c>
      <c r="I2097" s="75" t="s">
        <v>392</v>
      </c>
      <c r="J2097" s="4"/>
    </row>
    <row r="2098" spans="1:10" x14ac:dyDescent="0.25">
      <c r="A2098" s="39">
        <v>2097</v>
      </c>
      <c r="B2098" s="3" t="s">
        <v>739</v>
      </c>
      <c r="C2098" s="75" t="s">
        <v>1054</v>
      </c>
      <c r="D2098" s="75" t="s">
        <v>466</v>
      </c>
      <c r="E2098" s="75" t="str">
        <f t="shared" si="42"/>
        <v>০</v>
      </c>
      <c r="F2098" s="22" t="str">
        <f>"8119457810618"</f>
        <v>8119457810618</v>
      </c>
      <c r="G2098" s="75" t="str">
        <f>"১৩০৩০৬১৮০৭০৪"</f>
        <v>১৩০৩০৬১৮০৭০৪</v>
      </c>
      <c r="H2098" s="75" t="s">
        <v>393</v>
      </c>
      <c r="I2098" s="75" t="s">
        <v>393</v>
      </c>
      <c r="J2098" s="4"/>
    </row>
    <row r="2099" spans="1:10" x14ac:dyDescent="0.25">
      <c r="A2099" s="39">
        <v>2098</v>
      </c>
      <c r="B2099" s="3" t="s">
        <v>833</v>
      </c>
      <c r="C2099" s="75" t="s">
        <v>969</v>
      </c>
      <c r="D2099" s="75" t="s">
        <v>466</v>
      </c>
      <c r="E2099" s="75" t="str">
        <f t="shared" si="42"/>
        <v>০</v>
      </c>
      <c r="F2099" s="22" t="str">
        <f>"8119457000004"</f>
        <v>8119457000004</v>
      </c>
      <c r="G2099" s="75" t="str">
        <f>"১৩০৩০৬১৮০৭০৩"</f>
        <v>১৩০৩০৬১৮০৭০৩</v>
      </c>
      <c r="H2099" s="75" t="s">
        <v>362</v>
      </c>
      <c r="I2099" s="75" t="s">
        <v>362</v>
      </c>
      <c r="J2099" s="4"/>
    </row>
    <row r="2100" spans="1:10" x14ac:dyDescent="0.25">
      <c r="A2100" s="39">
        <v>2099</v>
      </c>
      <c r="B2100" s="3" t="s">
        <v>829</v>
      </c>
      <c r="C2100" s="75" t="s">
        <v>1066</v>
      </c>
      <c r="D2100" s="75" t="s">
        <v>466</v>
      </c>
      <c r="E2100" s="75" t="str">
        <f t="shared" si="42"/>
        <v>০</v>
      </c>
      <c r="F2100" s="22" t="str">
        <f>"8119457810584"</f>
        <v>8119457810584</v>
      </c>
      <c r="G2100" s="75" t="str">
        <f>"১৩০৩০৬১৮০৭০২"</f>
        <v>১৩০৩০৬১৮০৭০২</v>
      </c>
      <c r="H2100" s="75" t="s">
        <v>322</v>
      </c>
      <c r="I2100" s="75" t="s">
        <v>322</v>
      </c>
      <c r="J2100" s="4"/>
    </row>
    <row r="2101" spans="1:10" x14ac:dyDescent="0.25">
      <c r="A2101" s="39">
        <v>2100</v>
      </c>
      <c r="B2101" s="3" t="s">
        <v>3070</v>
      </c>
      <c r="C2101" s="75" t="s">
        <v>592</v>
      </c>
      <c r="D2101" s="75" t="s">
        <v>466</v>
      </c>
      <c r="E2101" s="75" t="str">
        <f t="shared" si="42"/>
        <v>০</v>
      </c>
      <c r="F2101" s="22" t="str">
        <f>"8119457000001"</f>
        <v>8119457000001</v>
      </c>
      <c r="G2101" s="75" t="str">
        <f>"১৩০৩০৬১৮০৭০১"</f>
        <v>১৩০৩০৬১৮০৭০১</v>
      </c>
      <c r="H2101" s="75" t="s">
        <v>392</v>
      </c>
      <c r="I2101" s="75" t="s">
        <v>392</v>
      </c>
      <c r="J2101" s="4"/>
    </row>
    <row r="2102" spans="1:10" x14ac:dyDescent="0.25">
      <c r="A2102" s="39">
        <v>2101</v>
      </c>
      <c r="B2102" s="3" t="s">
        <v>1067</v>
      </c>
      <c r="C2102" s="75" t="s">
        <v>3051</v>
      </c>
      <c r="D2102" s="75" t="s">
        <v>466</v>
      </c>
      <c r="E2102" s="75" t="str">
        <f t="shared" si="42"/>
        <v>০</v>
      </c>
      <c r="F2102" s="22" t="str">
        <f>"8119457810926"</f>
        <v>8119457810926</v>
      </c>
      <c r="G2102" s="75" t="str">
        <f>"১৩০৩০৬১৮০৭০০"</f>
        <v>১৩০৩০৬১৮০৭০০</v>
      </c>
      <c r="H2102" s="75" t="s">
        <v>321</v>
      </c>
      <c r="I2102" s="75" t="s">
        <v>321</v>
      </c>
      <c r="J2102" s="4"/>
    </row>
    <row r="2103" spans="1:10" x14ac:dyDescent="0.25">
      <c r="A2103" s="39">
        <v>2102</v>
      </c>
      <c r="B2103" s="3" t="s">
        <v>626</v>
      </c>
      <c r="C2103" s="75" t="s">
        <v>370</v>
      </c>
      <c r="D2103" s="75" t="s">
        <v>345</v>
      </c>
      <c r="E2103" s="75" t="str">
        <f t="shared" si="42"/>
        <v>০</v>
      </c>
      <c r="F2103" s="22" t="str">
        <f>"8119457577746"</f>
        <v>8119457577746</v>
      </c>
      <c r="G2103" s="75" t="str">
        <f>"১৩০৩০৬১৮০৪৪৩"</f>
        <v>১৩০৩০৬১৮০৪৪৩</v>
      </c>
      <c r="H2103" s="75" t="s">
        <v>371</v>
      </c>
      <c r="I2103" s="75" t="s">
        <v>371</v>
      </c>
      <c r="J2103" s="4"/>
    </row>
    <row r="2104" spans="1:10" x14ac:dyDescent="0.25">
      <c r="A2104" s="39">
        <v>2103</v>
      </c>
      <c r="B2104" s="3" t="s">
        <v>1068</v>
      </c>
      <c r="C2104" s="75" t="s">
        <v>1069</v>
      </c>
      <c r="D2104" s="75" t="s">
        <v>345</v>
      </c>
      <c r="E2104" s="75" t="str">
        <f t="shared" si="42"/>
        <v>০</v>
      </c>
      <c r="F2104" s="22" t="str">
        <f>"8119457774426"</f>
        <v>8119457774426</v>
      </c>
      <c r="G2104" s="75" t="str">
        <f>"১৩০৩০৬১৮০৪৪২"</f>
        <v>১৩০৩০৬১৮০৪৪২</v>
      </c>
      <c r="H2104" s="75" t="s">
        <v>323</v>
      </c>
      <c r="I2104" s="75" t="s">
        <v>323</v>
      </c>
      <c r="J2104" s="4"/>
    </row>
    <row r="2105" spans="1:10" x14ac:dyDescent="0.25">
      <c r="A2105" s="39">
        <v>2104</v>
      </c>
      <c r="B2105" s="3" t="s">
        <v>1070</v>
      </c>
      <c r="C2105" s="75" t="s">
        <v>1071</v>
      </c>
      <c r="D2105" s="75" t="s">
        <v>345</v>
      </c>
      <c r="E2105" s="75" t="str">
        <f t="shared" si="42"/>
        <v>০</v>
      </c>
      <c r="F2105" s="22" t="str">
        <f>"8119457"</f>
        <v>8119457</v>
      </c>
      <c r="G2105" s="75" t="str">
        <f>"১৩০৩০৬১৮০৪৪১"</f>
        <v>১৩০৩০৬১৮০৪৪১</v>
      </c>
      <c r="H2105" s="75" t="s">
        <v>323</v>
      </c>
      <c r="I2105" s="75" t="s">
        <v>323</v>
      </c>
      <c r="J2105" s="4"/>
    </row>
    <row r="2106" spans="1:10" x14ac:dyDescent="0.25">
      <c r="A2106" s="39">
        <v>2105</v>
      </c>
      <c r="B2106" s="3" t="s">
        <v>1072</v>
      </c>
      <c r="C2106" s="75" t="s">
        <v>1073</v>
      </c>
      <c r="D2106" s="75" t="s">
        <v>345</v>
      </c>
      <c r="E2106" s="75" t="str">
        <f t="shared" si="42"/>
        <v>০</v>
      </c>
      <c r="F2106" s="22" t="str">
        <f>"8119457774411"</f>
        <v>8119457774411</v>
      </c>
      <c r="G2106" s="75" t="str">
        <f>"১৩০৩০৬১৮০৪৪০"</f>
        <v>১৩০৩০৬১৮০৪৪০</v>
      </c>
      <c r="H2106" s="75" t="s">
        <v>404</v>
      </c>
      <c r="I2106" s="75" t="s">
        <v>404</v>
      </c>
      <c r="J2106" s="4"/>
    </row>
    <row r="2107" spans="1:10" x14ac:dyDescent="0.25">
      <c r="A2107" s="39">
        <v>2106</v>
      </c>
      <c r="B2107" s="3" t="s">
        <v>835</v>
      </c>
      <c r="C2107" s="75" t="s">
        <v>1074</v>
      </c>
      <c r="D2107" s="75" t="s">
        <v>345</v>
      </c>
      <c r="E2107" s="75" t="str">
        <f t="shared" si="42"/>
        <v>০</v>
      </c>
      <c r="F2107" s="22" t="str">
        <f>"8119457774433"</f>
        <v>8119457774433</v>
      </c>
      <c r="G2107" s="75" t="str">
        <f>"১৩০৩০৬১৮০৪৩৯"</f>
        <v>১৩০৩০৬১৮০৪৩৯</v>
      </c>
      <c r="H2107" s="75" t="s">
        <v>362</v>
      </c>
      <c r="I2107" s="75" t="s">
        <v>362</v>
      </c>
      <c r="J2107" s="4"/>
    </row>
    <row r="2108" spans="1:10" x14ac:dyDescent="0.25">
      <c r="A2108" s="39">
        <v>2107</v>
      </c>
      <c r="B2108" s="3" t="s">
        <v>1075</v>
      </c>
      <c r="C2108" s="75" t="s">
        <v>1076</v>
      </c>
      <c r="D2108" s="75" t="s">
        <v>345</v>
      </c>
      <c r="E2108" s="75" t="str">
        <f t="shared" si="42"/>
        <v>০</v>
      </c>
      <c r="F2108" s="22" t="str">
        <f>"8119457774478"</f>
        <v>8119457774478</v>
      </c>
      <c r="G2108" s="75" t="str">
        <f>"১৩০৩০৬১৮০৪৩৮"</f>
        <v>১৩০৩০৬১৮০৪৩৮</v>
      </c>
      <c r="H2108" s="75" t="s">
        <v>407</v>
      </c>
      <c r="I2108" s="75" t="s">
        <v>407</v>
      </c>
      <c r="J2108" s="4"/>
    </row>
    <row r="2109" spans="1:10" x14ac:dyDescent="0.25">
      <c r="A2109" s="39">
        <v>2108</v>
      </c>
      <c r="B2109" s="3" t="s">
        <v>1077</v>
      </c>
      <c r="C2109" s="75" t="s">
        <v>1078</v>
      </c>
      <c r="D2109" s="75" t="s">
        <v>345</v>
      </c>
      <c r="E2109" s="75" t="str">
        <f t="shared" si="42"/>
        <v>০</v>
      </c>
      <c r="F2109" s="22" t="str">
        <f>"8119457774620"</f>
        <v>8119457774620</v>
      </c>
      <c r="G2109" s="75" t="str">
        <f>"১৩০৩০৬১৮০৪৩৭"</f>
        <v>১৩০৩০৬১৮০৪৩৭</v>
      </c>
      <c r="H2109" s="75" t="s">
        <v>371</v>
      </c>
      <c r="I2109" s="75" t="s">
        <v>371</v>
      </c>
      <c r="J2109" s="4"/>
    </row>
    <row r="2110" spans="1:10" x14ac:dyDescent="0.25">
      <c r="A2110" s="39">
        <v>2109</v>
      </c>
      <c r="B2110" s="3" t="s">
        <v>1079</v>
      </c>
      <c r="C2110" s="75" t="s">
        <v>1080</v>
      </c>
      <c r="D2110" s="75" t="s">
        <v>345</v>
      </c>
      <c r="E2110" s="75" t="str">
        <f t="shared" si="42"/>
        <v>০</v>
      </c>
      <c r="F2110" s="22" t="str">
        <f>"8119457774515"</f>
        <v>8119457774515</v>
      </c>
      <c r="G2110" s="75" t="str">
        <f>"১৩০৩০৬১৮০৪৩৬"</f>
        <v>১৩০৩০৬১৮০৪৩৬</v>
      </c>
      <c r="H2110" s="75" t="s">
        <v>376</v>
      </c>
      <c r="I2110" s="75" t="s">
        <v>376</v>
      </c>
      <c r="J2110" s="4"/>
    </row>
    <row r="2111" spans="1:10" x14ac:dyDescent="0.25">
      <c r="A2111" s="39">
        <v>2110</v>
      </c>
      <c r="B2111" s="3" t="s">
        <v>1081</v>
      </c>
      <c r="C2111" s="75" t="s">
        <v>3071</v>
      </c>
      <c r="D2111" s="75" t="s">
        <v>345</v>
      </c>
      <c r="E2111" s="75" t="str">
        <f t="shared" si="42"/>
        <v>০</v>
      </c>
      <c r="F2111" s="22" t="str">
        <f>"8119457774427"</f>
        <v>8119457774427</v>
      </c>
      <c r="G2111" s="75" t="str">
        <f>"১৩০৩০৬১৮০৪৩৫"</f>
        <v>১৩০৩০৬১৮০৪৩৫</v>
      </c>
      <c r="H2111" s="75" t="s">
        <v>322</v>
      </c>
      <c r="I2111" s="75" t="s">
        <v>322</v>
      </c>
      <c r="J2111" s="4"/>
    </row>
    <row r="2112" spans="1:10" x14ac:dyDescent="0.25">
      <c r="A2112" s="39">
        <v>2111</v>
      </c>
      <c r="B2112" s="3" t="s">
        <v>745</v>
      </c>
      <c r="C2112" s="75" t="s">
        <v>3072</v>
      </c>
      <c r="D2112" s="75" t="s">
        <v>345</v>
      </c>
      <c r="E2112" s="75" t="str">
        <f t="shared" si="42"/>
        <v>০</v>
      </c>
      <c r="F2112" s="22" t="str">
        <f>"8119457774477"</f>
        <v>8119457774477</v>
      </c>
      <c r="G2112" s="75" t="str">
        <f>"১৩০৩০৬১৮০৪৩৪"</f>
        <v>১৩০৩০৬১৮০৪৩৪</v>
      </c>
      <c r="H2112" s="75" t="s">
        <v>371</v>
      </c>
      <c r="I2112" s="75" t="s">
        <v>371</v>
      </c>
      <c r="J2112" s="4"/>
    </row>
    <row r="2113" spans="1:10" x14ac:dyDescent="0.25">
      <c r="A2113" s="39">
        <v>2112</v>
      </c>
      <c r="B2113" s="3" t="s">
        <v>3073</v>
      </c>
      <c r="C2113" s="75" t="s">
        <v>1082</v>
      </c>
      <c r="D2113" s="75" t="s">
        <v>345</v>
      </c>
      <c r="E2113" s="75" t="str">
        <f t="shared" si="42"/>
        <v>০</v>
      </c>
      <c r="F2113" s="22" t="str">
        <f>"8119457774545"</f>
        <v>8119457774545</v>
      </c>
      <c r="G2113" s="75" t="str">
        <f>"১৩০৩০৬১৮০৪৩৩"</f>
        <v>১৩০৩০৬১৮০৪৩৩</v>
      </c>
      <c r="H2113" s="75" t="s">
        <v>362</v>
      </c>
      <c r="I2113" s="75" t="s">
        <v>362</v>
      </c>
      <c r="J2113" s="4"/>
    </row>
    <row r="2114" spans="1:10" x14ac:dyDescent="0.25">
      <c r="A2114" s="39">
        <v>2113</v>
      </c>
      <c r="B2114" s="3" t="s">
        <v>1083</v>
      </c>
      <c r="C2114" s="75" t="s">
        <v>3074</v>
      </c>
      <c r="D2114" s="75" t="s">
        <v>345</v>
      </c>
      <c r="E2114" s="75" t="str">
        <f t="shared" si="42"/>
        <v>০</v>
      </c>
      <c r="F2114" s="22" t="str">
        <f>"8119457777465"</f>
        <v>8119457777465</v>
      </c>
      <c r="G2114" s="75" t="str">
        <f>"১৩০৩০৬১৮০৪৩২"</f>
        <v>১৩০৩০৬১৮০৪৩২</v>
      </c>
      <c r="H2114" s="75" t="s">
        <v>371</v>
      </c>
      <c r="I2114" s="75" t="s">
        <v>371</v>
      </c>
      <c r="J2114" s="4"/>
    </row>
    <row r="2115" spans="1:10" x14ac:dyDescent="0.25">
      <c r="A2115" s="39">
        <v>2114</v>
      </c>
      <c r="B2115" s="3" t="s">
        <v>3075</v>
      </c>
      <c r="C2115" s="75" t="s">
        <v>354</v>
      </c>
      <c r="D2115" s="75" t="s">
        <v>345</v>
      </c>
      <c r="E2115" s="75" t="str">
        <f t="shared" si="42"/>
        <v>০</v>
      </c>
      <c r="F2115" s="22" t="str">
        <f>"8119457774445"</f>
        <v>8119457774445</v>
      </c>
      <c r="G2115" s="75" t="str">
        <f>"১৩০৩০৬১৮০৪৩১"</f>
        <v>১৩০৩০৬১৮০৪৩১</v>
      </c>
      <c r="H2115" s="75" t="s">
        <v>346</v>
      </c>
      <c r="I2115" s="75" t="s">
        <v>346</v>
      </c>
      <c r="J2115" s="4"/>
    </row>
    <row r="2116" spans="1:10" x14ac:dyDescent="0.25">
      <c r="A2116" s="39">
        <v>2115</v>
      </c>
      <c r="B2116" s="3" t="s">
        <v>1084</v>
      </c>
      <c r="C2116" s="75" t="s">
        <v>1085</v>
      </c>
      <c r="D2116" s="75" t="s">
        <v>345</v>
      </c>
      <c r="E2116" s="75" t="str">
        <f t="shared" si="42"/>
        <v>০</v>
      </c>
      <c r="F2116" s="22" t="str">
        <f>"8119457774538"</f>
        <v>8119457774538</v>
      </c>
      <c r="G2116" s="75" t="str">
        <f>"১৩০৩০৬১৮০৪৩০"</f>
        <v>১৩০৩০৬১৮০৪৩০</v>
      </c>
      <c r="H2116" s="75" t="s">
        <v>371</v>
      </c>
      <c r="I2116" s="75" t="s">
        <v>371</v>
      </c>
      <c r="J2116" s="4"/>
    </row>
    <row r="2117" spans="1:10" x14ac:dyDescent="0.25">
      <c r="A2117" s="39">
        <v>2116</v>
      </c>
      <c r="B2117" s="3" t="s">
        <v>1086</v>
      </c>
      <c r="C2117" s="75" t="s">
        <v>1087</v>
      </c>
      <c r="D2117" s="75" t="s">
        <v>345</v>
      </c>
      <c r="E2117" s="75" t="str">
        <f t="shared" si="42"/>
        <v>০</v>
      </c>
      <c r="F2117" s="22" t="str">
        <f>"8119457774618"</f>
        <v>8119457774618</v>
      </c>
      <c r="G2117" s="75" t="str">
        <f>"১৩০৩০৬১৮০৪২৯"</f>
        <v>১৩০৩০৬১৮০৪২৯</v>
      </c>
      <c r="H2117" s="75" t="s">
        <v>323</v>
      </c>
      <c r="I2117" s="75" t="s">
        <v>323</v>
      </c>
      <c r="J2117" s="4"/>
    </row>
    <row r="2118" spans="1:10" x14ac:dyDescent="0.25">
      <c r="A2118" s="39">
        <v>2117</v>
      </c>
      <c r="B2118" s="3" t="s">
        <v>3076</v>
      </c>
      <c r="C2118" s="75" t="s">
        <v>3077</v>
      </c>
      <c r="D2118" s="75" t="s">
        <v>356</v>
      </c>
      <c r="E2118" s="75" t="str">
        <f>"০১৯২৮-৯৮৩৯২৪"</f>
        <v>০১৯২৮-৯৮৩৯২৪</v>
      </c>
      <c r="F2118" s="22" t="str">
        <f>"8119457774454"</f>
        <v>8119457774454</v>
      </c>
      <c r="G2118" s="75" t="str">
        <f>"১৩০৩০৬১৮০৪২৮"</f>
        <v>১৩০৩০৬১৮০৪২৮</v>
      </c>
      <c r="H2118" s="75" t="s">
        <v>322</v>
      </c>
      <c r="I2118" s="75" t="s">
        <v>322</v>
      </c>
      <c r="J2118" s="4"/>
    </row>
    <row r="2119" spans="1:10" x14ac:dyDescent="0.25">
      <c r="A2119" s="39">
        <v>2118</v>
      </c>
      <c r="B2119" s="3" t="s">
        <v>1088</v>
      </c>
      <c r="C2119" s="75" t="s">
        <v>1089</v>
      </c>
      <c r="D2119" s="75" t="s">
        <v>345</v>
      </c>
      <c r="E2119" s="75" t="str">
        <f t="shared" ref="E2119:E2148" si="43">"০"</f>
        <v>০</v>
      </c>
      <c r="F2119" s="22" t="str">
        <f>"8119457774649"</f>
        <v>8119457774649</v>
      </c>
      <c r="G2119" s="75" t="str">
        <f>"১৩০৩০৬১৮০৪২৭"</f>
        <v>১৩০৩০৬১৮০৪২৭</v>
      </c>
      <c r="H2119" s="75" t="s">
        <v>357</v>
      </c>
      <c r="I2119" s="75" t="s">
        <v>357</v>
      </c>
      <c r="J2119" s="4"/>
    </row>
    <row r="2120" spans="1:10" x14ac:dyDescent="0.25">
      <c r="A2120" s="39">
        <v>2119</v>
      </c>
      <c r="B2120" s="3" t="s">
        <v>1090</v>
      </c>
      <c r="C2120" s="75" t="s">
        <v>1091</v>
      </c>
      <c r="D2120" s="75" t="s">
        <v>345</v>
      </c>
      <c r="E2120" s="75" t="str">
        <f t="shared" si="43"/>
        <v>০</v>
      </c>
      <c r="F2120" s="22" t="str">
        <f>"8119457774546"</f>
        <v>8119457774546</v>
      </c>
      <c r="G2120" s="75" t="str">
        <f>"১৩০৩০৬১৮০৪২৬"</f>
        <v>১৩০৩০৬১৮০৪২৬</v>
      </c>
      <c r="H2120" s="75" t="s">
        <v>323</v>
      </c>
      <c r="I2120" s="75" t="s">
        <v>323</v>
      </c>
      <c r="J2120" s="4"/>
    </row>
    <row r="2121" spans="1:10" x14ac:dyDescent="0.25">
      <c r="A2121" s="39">
        <v>2120</v>
      </c>
      <c r="B2121" s="3" t="s">
        <v>1092</v>
      </c>
      <c r="C2121" s="75" t="s">
        <v>821</v>
      </c>
      <c r="D2121" s="75" t="s">
        <v>345</v>
      </c>
      <c r="E2121" s="75" t="str">
        <f t="shared" si="43"/>
        <v>০</v>
      </c>
      <c r="F2121" s="22" t="str">
        <f>"8119457774576"</f>
        <v>8119457774576</v>
      </c>
      <c r="G2121" s="75" t="str">
        <f>"১৩০৩০৬১৮০৪২৫"</f>
        <v>১৩০৩০৬১৮০৪২৫</v>
      </c>
      <c r="H2121" s="75" t="s">
        <v>362</v>
      </c>
      <c r="I2121" s="75" t="s">
        <v>362</v>
      </c>
      <c r="J2121" s="4"/>
    </row>
    <row r="2122" spans="1:10" x14ac:dyDescent="0.25">
      <c r="A2122" s="39">
        <v>2121</v>
      </c>
      <c r="B2122" s="3" t="s">
        <v>1045</v>
      </c>
      <c r="C2122" s="75" t="s">
        <v>1093</v>
      </c>
      <c r="D2122" s="75" t="s">
        <v>345</v>
      </c>
      <c r="E2122" s="75" t="str">
        <f t="shared" si="43"/>
        <v>০</v>
      </c>
      <c r="F2122" s="22" t="str">
        <f>"8119457774415"</f>
        <v>8119457774415</v>
      </c>
      <c r="G2122" s="75" t="str">
        <f>"১৩০৩০৬১৮০৪২৪"</f>
        <v>১৩০৩০৬১৮০৪২৪</v>
      </c>
      <c r="H2122" s="75" t="s">
        <v>420</v>
      </c>
      <c r="I2122" s="75" t="s">
        <v>420</v>
      </c>
      <c r="J2122" s="4"/>
    </row>
    <row r="2123" spans="1:10" x14ac:dyDescent="0.25">
      <c r="A2123" s="39">
        <v>2122</v>
      </c>
      <c r="B2123" s="3" t="s">
        <v>1094</v>
      </c>
      <c r="C2123" s="75" t="s">
        <v>3078</v>
      </c>
      <c r="D2123" s="75" t="s">
        <v>345</v>
      </c>
      <c r="E2123" s="75" t="str">
        <f t="shared" si="43"/>
        <v>০</v>
      </c>
      <c r="F2123" s="22" t="str">
        <f>"8119457774370"</f>
        <v>8119457774370</v>
      </c>
      <c r="G2123" s="75" t="str">
        <f>"১৩০৩০৬১৮০৪২৩"</f>
        <v>১৩০৩০৬১৮০৪২৩</v>
      </c>
      <c r="H2123" s="75" t="s">
        <v>371</v>
      </c>
      <c r="I2123" s="75" t="s">
        <v>371</v>
      </c>
      <c r="J2123" s="4"/>
    </row>
    <row r="2124" spans="1:10" x14ac:dyDescent="0.25">
      <c r="A2124" s="39">
        <v>2123</v>
      </c>
      <c r="B2124" s="3" t="s">
        <v>1095</v>
      </c>
      <c r="C2124" s="75" t="s">
        <v>1096</v>
      </c>
      <c r="D2124" s="75" t="s">
        <v>345</v>
      </c>
      <c r="E2124" s="75" t="str">
        <f t="shared" si="43"/>
        <v>০</v>
      </c>
      <c r="F2124" s="22" t="str">
        <f>"8119457774418"</f>
        <v>8119457774418</v>
      </c>
      <c r="G2124" s="75" t="str">
        <f>"১৩০৩০৬১৮০৪২২"</f>
        <v>১৩০৩০৬১৮০৪২২</v>
      </c>
      <c r="H2124" s="75" t="s">
        <v>346</v>
      </c>
      <c r="I2124" s="75" t="s">
        <v>346</v>
      </c>
      <c r="J2124" s="4"/>
    </row>
    <row r="2125" spans="1:10" x14ac:dyDescent="0.25">
      <c r="A2125" s="39">
        <v>2124</v>
      </c>
      <c r="B2125" s="3" t="s">
        <v>1097</v>
      </c>
      <c r="C2125" s="75" t="s">
        <v>1098</v>
      </c>
      <c r="D2125" s="75" t="s">
        <v>345</v>
      </c>
      <c r="E2125" s="75" t="str">
        <f t="shared" si="43"/>
        <v>০</v>
      </c>
      <c r="F2125" s="22" t="str">
        <f>"8119457774421"</f>
        <v>8119457774421</v>
      </c>
      <c r="G2125" s="75" t="str">
        <f>"১৩০৩০৬১৮০৪২১"</f>
        <v>১৩০৩০৬১৮০৪২১</v>
      </c>
      <c r="H2125" s="75" t="s">
        <v>357</v>
      </c>
      <c r="I2125" s="75" t="s">
        <v>357</v>
      </c>
      <c r="J2125" s="4"/>
    </row>
    <row r="2126" spans="1:10" x14ac:dyDescent="0.25">
      <c r="A2126" s="39">
        <v>2125</v>
      </c>
      <c r="B2126" s="3" t="s">
        <v>1099</v>
      </c>
      <c r="C2126" s="75" t="s">
        <v>1100</v>
      </c>
      <c r="D2126" s="75" t="s">
        <v>345</v>
      </c>
      <c r="E2126" s="75" t="str">
        <f t="shared" si="43"/>
        <v>০</v>
      </c>
      <c r="F2126" s="22" t="str">
        <f>"8119457774446"</f>
        <v>8119457774446</v>
      </c>
      <c r="G2126" s="75" t="str">
        <f>"১৩০৩০৬১৮০৪২০"</f>
        <v>১৩০৩০৬১৮০৪২০</v>
      </c>
      <c r="H2126" s="75" t="s">
        <v>322</v>
      </c>
      <c r="I2126" s="75" t="s">
        <v>322</v>
      </c>
      <c r="J2126" s="4"/>
    </row>
    <row r="2127" spans="1:10" x14ac:dyDescent="0.25">
      <c r="A2127" s="39">
        <v>2126</v>
      </c>
      <c r="B2127" s="3" t="s">
        <v>1101</v>
      </c>
      <c r="C2127" s="75" t="s">
        <v>447</v>
      </c>
      <c r="D2127" s="75" t="s">
        <v>345</v>
      </c>
      <c r="E2127" s="75" t="str">
        <f t="shared" si="43"/>
        <v>০</v>
      </c>
      <c r="F2127" s="22" t="str">
        <f>"8119457774434"</f>
        <v>8119457774434</v>
      </c>
      <c r="G2127" s="75" t="str">
        <f>"১৩০৩০৬১৮০৪১৯"</f>
        <v>১৩০৩০৬১৮০৪১৯</v>
      </c>
      <c r="H2127" s="75" t="s">
        <v>321</v>
      </c>
      <c r="I2127" s="75" t="s">
        <v>321</v>
      </c>
      <c r="J2127" s="4"/>
    </row>
    <row r="2128" spans="1:10" x14ac:dyDescent="0.25">
      <c r="A2128" s="39">
        <v>2127</v>
      </c>
      <c r="B2128" s="3" t="s">
        <v>1102</v>
      </c>
      <c r="C2128" s="75" t="s">
        <v>1103</v>
      </c>
      <c r="D2128" s="75" t="s">
        <v>345</v>
      </c>
      <c r="E2128" s="75" t="str">
        <f t="shared" si="43"/>
        <v>০</v>
      </c>
      <c r="F2128" s="22" t="str">
        <f>"8119457774491"</f>
        <v>8119457774491</v>
      </c>
      <c r="G2128" s="75" t="str">
        <f>"১৩০৩০৬১৮০৪১৮"</f>
        <v>১৩০৩০৬১৮০৪১৮</v>
      </c>
      <c r="H2128" s="75" t="s">
        <v>371</v>
      </c>
      <c r="I2128" s="75" t="s">
        <v>371</v>
      </c>
      <c r="J2128" s="4"/>
    </row>
    <row r="2129" spans="1:10" x14ac:dyDescent="0.25">
      <c r="A2129" s="39">
        <v>2128</v>
      </c>
      <c r="B2129" s="3" t="s">
        <v>1104</v>
      </c>
      <c r="C2129" s="75" t="s">
        <v>3079</v>
      </c>
      <c r="D2129" s="75" t="s">
        <v>345</v>
      </c>
      <c r="E2129" s="75" t="str">
        <f t="shared" si="43"/>
        <v>০</v>
      </c>
      <c r="F2129" s="22" t="str">
        <f>"8119457774221"</f>
        <v>8119457774221</v>
      </c>
      <c r="G2129" s="75" t="str">
        <f>"১৩০৩০৬১৮০৪১৭"</f>
        <v>১৩০৩০৬১৮০৪১৭</v>
      </c>
      <c r="H2129" s="75" t="s">
        <v>424</v>
      </c>
      <c r="I2129" s="75" t="s">
        <v>424</v>
      </c>
      <c r="J2129" s="4"/>
    </row>
    <row r="2130" spans="1:10" x14ac:dyDescent="0.25">
      <c r="A2130" s="39">
        <v>2129</v>
      </c>
      <c r="B2130" s="3" t="s">
        <v>470</v>
      </c>
      <c r="C2130" s="75" t="s">
        <v>355</v>
      </c>
      <c r="D2130" s="75" t="s">
        <v>345</v>
      </c>
      <c r="E2130" s="75" t="str">
        <f t="shared" si="43"/>
        <v>০</v>
      </c>
      <c r="F2130" s="22" t="str">
        <f>"8119457714337"</f>
        <v>8119457714337</v>
      </c>
      <c r="G2130" s="75" t="str">
        <f>"১৩০৩০৬১৮০৪১৬"</f>
        <v>১৩০৩০৬১৮০৪১৬</v>
      </c>
      <c r="H2130" s="75" t="s">
        <v>425</v>
      </c>
      <c r="I2130" s="75" t="s">
        <v>425</v>
      </c>
      <c r="J2130" s="4"/>
    </row>
    <row r="2131" spans="1:10" x14ac:dyDescent="0.25">
      <c r="A2131" s="39">
        <v>2130</v>
      </c>
      <c r="B2131" s="3" t="s">
        <v>952</v>
      </c>
      <c r="C2131" s="75" t="s">
        <v>1105</v>
      </c>
      <c r="D2131" s="75" t="s">
        <v>345</v>
      </c>
      <c r="E2131" s="75" t="str">
        <f t="shared" si="43"/>
        <v>০</v>
      </c>
      <c r="F2131" s="22" t="str">
        <f>"8119457000308"</f>
        <v>8119457000308</v>
      </c>
      <c r="G2131" s="75" t="str">
        <f>"১৩০৩০৬১৮০৪১৫"</f>
        <v>১৩০৩০৬১৮০৪১৫</v>
      </c>
      <c r="H2131" s="75" t="s">
        <v>424</v>
      </c>
      <c r="I2131" s="75" t="s">
        <v>424</v>
      </c>
      <c r="J2131" s="4"/>
    </row>
    <row r="2132" spans="1:10" x14ac:dyDescent="0.25">
      <c r="A2132" s="39">
        <v>2131</v>
      </c>
      <c r="B2132" s="3"/>
      <c r="C2132" s="75"/>
      <c r="D2132" s="75" t="s">
        <v>345</v>
      </c>
      <c r="E2132" s="75" t="str">
        <f t="shared" si="43"/>
        <v>০</v>
      </c>
      <c r="F2132" s="22" t="str">
        <f>"8119457"</f>
        <v>8119457</v>
      </c>
      <c r="G2132" s="75" t="str">
        <f>"১৩০৩০৬১৮"</f>
        <v>১৩০৩০৬১৮</v>
      </c>
      <c r="H2132" s="75" t="s">
        <v>323</v>
      </c>
      <c r="I2132" s="75" t="s">
        <v>323</v>
      </c>
      <c r="J2132" s="4"/>
    </row>
    <row r="2133" spans="1:10" x14ac:dyDescent="0.25">
      <c r="A2133" s="39">
        <v>2132</v>
      </c>
      <c r="B2133" s="3" t="s">
        <v>834</v>
      </c>
      <c r="C2133" s="75" t="s">
        <v>1106</v>
      </c>
      <c r="D2133" s="75" t="s">
        <v>345</v>
      </c>
      <c r="E2133" s="75" t="str">
        <f t="shared" si="43"/>
        <v>০</v>
      </c>
      <c r="F2133" s="22" t="str">
        <f>"8119457774644"</f>
        <v>8119457774644</v>
      </c>
      <c r="G2133" s="75" t="str">
        <f>"১৩০৩০৬১৮০৪১৩"</f>
        <v>১৩০৩০৬১৮০৪১৩</v>
      </c>
      <c r="H2133" s="75" t="s">
        <v>319</v>
      </c>
      <c r="I2133" s="75" t="s">
        <v>319</v>
      </c>
      <c r="J2133" s="4"/>
    </row>
    <row r="2134" spans="1:10" x14ac:dyDescent="0.25">
      <c r="A2134" s="39">
        <v>2133</v>
      </c>
      <c r="B2134" s="3" t="s">
        <v>403</v>
      </c>
      <c r="C2134" s="75" t="s">
        <v>577</v>
      </c>
      <c r="D2134" s="75" t="s">
        <v>345</v>
      </c>
      <c r="E2134" s="75" t="str">
        <f t="shared" si="43"/>
        <v>০</v>
      </c>
      <c r="F2134" s="22" t="str">
        <f>"8119457774442"</f>
        <v>8119457774442</v>
      </c>
      <c r="G2134" s="75" t="str">
        <f>"১৩০৩০৬১৮০৪১২"</f>
        <v>১৩০৩০৬১৮০৪১২</v>
      </c>
      <c r="H2134" s="75" t="s">
        <v>346</v>
      </c>
      <c r="I2134" s="75" t="s">
        <v>346</v>
      </c>
      <c r="J2134" s="4"/>
    </row>
    <row r="2135" spans="1:10" x14ac:dyDescent="0.25">
      <c r="A2135" s="39">
        <v>2134</v>
      </c>
      <c r="B2135" s="3" t="s">
        <v>624</v>
      </c>
      <c r="C2135" s="75" t="s">
        <v>1096</v>
      </c>
      <c r="D2135" s="75" t="s">
        <v>345</v>
      </c>
      <c r="E2135" s="75" t="str">
        <f t="shared" si="43"/>
        <v>০</v>
      </c>
      <c r="F2135" s="22" t="str">
        <f>"8119457774658"</f>
        <v>8119457774658</v>
      </c>
      <c r="G2135" s="75" t="str">
        <f>"১৩০৩০৬১৮০৪১১"</f>
        <v>১৩০৩০৬১৮০৪১১</v>
      </c>
      <c r="H2135" s="75" t="s">
        <v>346</v>
      </c>
      <c r="I2135" s="75" t="s">
        <v>346</v>
      </c>
      <c r="J2135" s="4"/>
    </row>
    <row r="2136" spans="1:10" x14ac:dyDescent="0.25">
      <c r="A2136" s="39">
        <v>2135</v>
      </c>
      <c r="B2136" s="3" t="s">
        <v>3080</v>
      </c>
      <c r="C2136" s="75" t="s">
        <v>1107</v>
      </c>
      <c r="D2136" s="75" t="s">
        <v>345</v>
      </c>
      <c r="E2136" s="75" t="str">
        <f t="shared" si="43"/>
        <v>০</v>
      </c>
      <c r="F2136" s="22" t="str">
        <f>"8119457774452"</f>
        <v>8119457774452</v>
      </c>
      <c r="G2136" s="75" t="str">
        <f>"১৩০৩০৬১৮০৪১০"</f>
        <v>১৩০৩০৬১৮০৪১০</v>
      </c>
      <c r="H2136" s="75" t="s">
        <v>371</v>
      </c>
      <c r="I2136" s="75" t="s">
        <v>371</v>
      </c>
      <c r="J2136" s="4"/>
    </row>
    <row r="2137" spans="1:10" x14ac:dyDescent="0.25">
      <c r="A2137" s="39">
        <v>2136</v>
      </c>
      <c r="B2137" s="3" t="s">
        <v>1108</v>
      </c>
      <c r="C2137" s="75" t="s">
        <v>1109</v>
      </c>
      <c r="D2137" s="75" t="s">
        <v>345</v>
      </c>
      <c r="E2137" s="75" t="str">
        <f t="shared" si="43"/>
        <v>০</v>
      </c>
      <c r="F2137" s="22" t="str">
        <f>"8119457774560"</f>
        <v>8119457774560</v>
      </c>
      <c r="G2137" s="75" t="str">
        <f>"১৩০৩০৬১৮০৪০৯"</f>
        <v>১৩০৩০৬১৮০৪০৯</v>
      </c>
      <c r="H2137" s="75" t="s">
        <v>323</v>
      </c>
      <c r="I2137" s="75" t="s">
        <v>323</v>
      </c>
      <c r="J2137" s="4"/>
    </row>
    <row r="2138" spans="1:10" x14ac:dyDescent="0.25">
      <c r="A2138" s="39">
        <v>2137</v>
      </c>
      <c r="B2138" s="3" t="s">
        <v>1110</v>
      </c>
      <c r="C2138" s="75" t="s">
        <v>1111</v>
      </c>
      <c r="D2138" s="75" t="s">
        <v>345</v>
      </c>
      <c r="E2138" s="75" t="str">
        <f t="shared" si="43"/>
        <v>০</v>
      </c>
      <c r="F2138" s="22" t="str">
        <f>"8119457774447"</f>
        <v>8119457774447</v>
      </c>
      <c r="G2138" s="75" t="str">
        <f>"১৩০৩০৬১৮০৪০৮"</f>
        <v>১৩০৩০৬১৮০৪০৮</v>
      </c>
      <c r="H2138" s="75" t="s">
        <v>321</v>
      </c>
      <c r="I2138" s="75" t="s">
        <v>321</v>
      </c>
      <c r="J2138" s="4"/>
    </row>
    <row r="2139" spans="1:10" x14ac:dyDescent="0.25">
      <c r="A2139" s="39">
        <v>2138</v>
      </c>
      <c r="B2139" s="3" t="s">
        <v>1112</v>
      </c>
      <c r="C2139" s="75" t="s">
        <v>1113</v>
      </c>
      <c r="D2139" s="75" t="s">
        <v>345</v>
      </c>
      <c r="E2139" s="75" t="str">
        <f t="shared" si="43"/>
        <v>০</v>
      </c>
      <c r="F2139" s="22" t="str">
        <f>"8119457774484"</f>
        <v>8119457774484</v>
      </c>
      <c r="G2139" s="75" t="str">
        <f>"১৩০৩০৬১৮০৪০৭"</f>
        <v>১৩০৩০৬১৮০৪০৭</v>
      </c>
      <c r="H2139" s="75" t="s">
        <v>346</v>
      </c>
      <c r="I2139" s="75" t="s">
        <v>346</v>
      </c>
      <c r="J2139" s="4"/>
    </row>
    <row r="2140" spans="1:10" x14ac:dyDescent="0.25">
      <c r="A2140" s="39">
        <v>2139</v>
      </c>
      <c r="B2140" s="3" t="s">
        <v>1114</v>
      </c>
      <c r="C2140" s="75" t="s">
        <v>1115</v>
      </c>
      <c r="D2140" s="75" t="s">
        <v>345</v>
      </c>
      <c r="E2140" s="75" t="str">
        <f t="shared" si="43"/>
        <v>০</v>
      </c>
      <c r="F2140" s="22" t="str">
        <f>"8119457774537"</f>
        <v>8119457774537</v>
      </c>
      <c r="G2140" s="75" t="str">
        <f>"১৩০৩০৬১৮০৪০৬"</f>
        <v>১৩০৩০৬১৮০৪০৬</v>
      </c>
      <c r="H2140" s="75" t="s">
        <v>392</v>
      </c>
      <c r="I2140" s="75" t="s">
        <v>392</v>
      </c>
      <c r="J2140" s="4"/>
    </row>
    <row r="2141" spans="1:10" x14ac:dyDescent="0.25">
      <c r="A2141" s="39">
        <v>2140</v>
      </c>
      <c r="B2141" s="3" t="s">
        <v>1116</v>
      </c>
      <c r="C2141" s="75" t="s">
        <v>1117</v>
      </c>
      <c r="D2141" s="75" t="s">
        <v>345</v>
      </c>
      <c r="E2141" s="75" t="str">
        <f t="shared" si="43"/>
        <v>০</v>
      </c>
      <c r="F2141" s="22" t="str">
        <f>"8119457774600"</f>
        <v>8119457774600</v>
      </c>
      <c r="G2141" s="75" t="str">
        <f>"১৩০৩০৬১৮০৪০৫"</f>
        <v>১৩০৩০৬১৮০৪০৫</v>
      </c>
      <c r="H2141" s="75" t="s">
        <v>371</v>
      </c>
      <c r="I2141" s="75" t="s">
        <v>371</v>
      </c>
      <c r="J2141" s="4"/>
    </row>
    <row r="2142" spans="1:10" x14ac:dyDescent="0.25">
      <c r="A2142" s="39">
        <v>2141</v>
      </c>
      <c r="B2142" s="3" t="s">
        <v>1118</v>
      </c>
      <c r="C2142" s="75" t="s">
        <v>1119</v>
      </c>
      <c r="D2142" s="75" t="s">
        <v>345</v>
      </c>
      <c r="E2142" s="75" t="str">
        <f t="shared" si="43"/>
        <v>০</v>
      </c>
      <c r="F2142" s="22" t="str">
        <f>"8119457774430"</f>
        <v>8119457774430</v>
      </c>
      <c r="G2142" s="75" t="str">
        <f>"১৩০৩০৬১৮০৪০৪"</f>
        <v>১৩০৩০৬১৮০৪০৪</v>
      </c>
      <c r="H2142" s="75" t="s">
        <v>322</v>
      </c>
      <c r="I2142" s="75" t="s">
        <v>322</v>
      </c>
      <c r="J2142" s="4"/>
    </row>
    <row r="2143" spans="1:10" x14ac:dyDescent="0.25">
      <c r="A2143" s="39">
        <v>2142</v>
      </c>
      <c r="B2143" s="3" t="s">
        <v>1120</v>
      </c>
      <c r="C2143" s="75" t="s">
        <v>1121</v>
      </c>
      <c r="D2143" s="75" t="s">
        <v>345</v>
      </c>
      <c r="E2143" s="75" t="str">
        <f t="shared" si="43"/>
        <v>০</v>
      </c>
      <c r="F2143" s="22" t="str">
        <f>"8119457774449"</f>
        <v>8119457774449</v>
      </c>
      <c r="G2143" s="75" t="str">
        <f>"১৩০৩০৬১৮০৪০৩"</f>
        <v>১৩০৩০৬১৮০৪০৩</v>
      </c>
      <c r="H2143" s="75" t="s">
        <v>319</v>
      </c>
      <c r="I2143" s="75" t="s">
        <v>319</v>
      </c>
      <c r="J2143" s="4"/>
    </row>
    <row r="2144" spans="1:10" x14ac:dyDescent="0.25">
      <c r="A2144" s="39">
        <v>2143</v>
      </c>
      <c r="B2144" s="3" t="s">
        <v>870</v>
      </c>
      <c r="C2144" s="75" t="s">
        <v>1122</v>
      </c>
      <c r="D2144" s="75" t="s">
        <v>345</v>
      </c>
      <c r="E2144" s="75" t="str">
        <f t="shared" si="43"/>
        <v>০</v>
      </c>
      <c r="F2144" s="22" t="str">
        <f>"8119457774533"</f>
        <v>8119457774533</v>
      </c>
      <c r="G2144" s="75" t="str">
        <f>"১৩০৩০৬১৮০৪০২"</f>
        <v>১৩০৩০৬১৮০৪০২</v>
      </c>
      <c r="H2144" s="75" t="s">
        <v>322</v>
      </c>
      <c r="I2144" s="75" t="s">
        <v>322</v>
      </c>
      <c r="J2144" s="4"/>
    </row>
    <row r="2145" spans="1:10" x14ac:dyDescent="0.25">
      <c r="A2145" s="39">
        <v>2144</v>
      </c>
      <c r="B2145" s="3" t="s">
        <v>1070</v>
      </c>
      <c r="C2145" s="75" t="s">
        <v>1122</v>
      </c>
      <c r="D2145" s="75" t="s">
        <v>345</v>
      </c>
      <c r="E2145" s="75" t="str">
        <f t="shared" si="43"/>
        <v>০</v>
      </c>
      <c r="F2145" s="22" t="str">
        <f>"81194577744117"</f>
        <v>81194577744117</v>
      </c>
      <c r="G2145" s="75" t="str">
        <f>"১৩০৩০৬১৮০৪০১"</f>
        <v>১৩০৩০৬১৮০৪০১</v>
      </c>
      <c r="H2145" s="75" t="s">
        <v>357</v>
      </c>
      <c r="I2145" s="75" t="s">
        <v>357</v>
      </c>
      <c r="J2145" s="4"/>
    </row>
    <row r="2146" spans="1:10" x14ac:dyDescent="0.25">
      <c r="A2146" s="39">
        <v>2145</v>
      </c>
      <c r="B2146" s="3" t="s">
        <v>1123</v>
      </c>
      <c r="C2146" s="75" t="s">
        <v>1124</v>
      </c>
      <c r="D2146" s="75" t="s">
        <v>345</v>
      </c>
      <c r="E2146" s="75" t="str">
        <f t="shared" si="43"/>
        <v>০</v>
      </c>
      <c r="F2146" s="22" t="str">
        <f>"8119457774563"</f>
        <v>8119457774563</v>
      </c>
      <c r="G2146" s="75" t="str">
        <f>"১৩০৩০৬১৮০৪০০"</f>
        <v>১৩০৩০৬১৮০৪০০</v>
      </c>
      <c r="H2146" s="75" t="s">
        <v>392</v>
      </c>
      <c r="I2146" s="75" t="s">
        <v>392</v>
      </c>
      <c r="J2146" s="4"/>
    </row>
    <row r="2147" spans="1:10" x14ac:dyDescent="0.25">
      <c r="A2147" s="39">
        <v>2146</v>
      </c>
      <c r="B2147" s="3" t="s">
        <v>3081</v>
      </c>
      <c r="C2147" s="75" t="s">
        <v>3082</v>
      </c>
      <c r="D2147" s="75" t="s">
        <v>435</v>
      </c>
      <c r="E2147" s="75" t="str">
        <f t="shared" si="43"/>
        <v>০</v>
      </c>
      <c r="F2147" s="22" t="str">
        <f>"8119457"</f>
        <v>8119457</v>
      </c>
      <c r="G2147" s="75" t="str">
        <f>"১৩০৩০৬১৮০৩৬০"</f>
        <v>১৩০৩০৬১৮০৩৬০</v>
      </c>
      <c r="H2147" s="75" t="s">
        <v>371</v>
      </c>
      <c r="I2147" s="75" t="s">
        <v>371</v>
      </c>
      <c r="J2147" s="4"/>
    </row>
    <row r="2148" spans="1:10" x14ac:dyDescent="0.25">
      <c r="A2148" s="39">
        <v>2147</v>
      </c>
      <c r="B2148" s="3" t="s">
        <v>1125</v>
      </c>
      <c r="C2148" s="75" t="s">
        <v>1126</v>
      </c>
      <c r="D2148" s="75" t="s">
        <v>435</v>
      </c>
      <c r="E2148" s="75" t="str">
        <f t="shared" si="43"/>
        <v>০</v>
      </c>
      <c r="F2148" s="22" t="str">
        <f>"8119457777743"</f>
        <v>8119457777743</v>
      </c>
      <c r="G2148" s="75" t="str">
        <f>"১৩০৩০৬১৮০৩৫৯"</f>
        <v>১৩০৩০৬১৮০৩৫৯</v>
      </c>
      <c r="H2148" s="75" t="s">
        <v>318</v>
      </c>
      <c r="I2148" s="75" t="s">
        <v>318</v>
      </c>
      <c r="J2148" s="4"/>
    </row>
    <row r="2149" spans="1:10" x14ac:dyDescent="0.25">
      <c r="A2149" s="39">
        <v>2148</v>
      </c>
      <c r="B2149" s="3" t="s">
        <v>3083</v>
      </c>
      <c r="C2149" s="75" t="s">
        <v>2851</v>
      </c>
      <c r="D2149" s="75" t="s">
        <v>435</v>
      </c>
      <c r="E2149" s="75" t="str">
        <f>"০১৭৩৫-৪৫৯৭৭৬"</f>
        <v>০১৭৩৫-৪৫৯৭৭৬</v>
      </c>
      <c r="F2149" s="22" t="str">
        <f>"8119457774251"</f>
        <v>8119457774251</v>
      </c>
      <c r="G2149" s="75" t="str">
        <f>"১৩০৩০৬১৮০৩৫৮"</f>
        <v>১৩০৩০৬১৮০৩৫৮</v>
      </c>
      <c r="H2149" s="75" t="s">
        <v>392</v>
      </c>
      <c r="I2149" s="75" t="s">
        <v>392</v>
      </c>
      <c r="J2149" s="4"/>
    </row>
    <row r="2150" spans="1:10" x14ac:dyDescent="0.25">
      <c r="A2150" s="39">
        <v>2149</v>
      </c>
      <c r="B2150" s="3" t="s">
        <v>1127</v>
      </c>
      <c r="C2150" s="75" t="s">
        <v>1128</v>
      </c>
      <c r="D2150" s="75" t="s">
        <v>435</v>
      </c>
      <c r="E2150" s="75" t="str">
        <f t="shared" ref="E2150:E2177" si="44">"০"</f>
        <v>০</v>
      </c>
      <c r="F2150" s="22" t="str">
        <f>"8119457744699"</f>
        <v>8119457744699</v>
      </c>
      <c r="G2150" s="75" t="str">
        <f>"১৩০৩০৬১৮০৩৫৭"</f>
        <v>১৩০৩০৬১৮০৩৫৭</v>
      </c>
      <c r="H2150" s="75" t="s">
        <v>385</v>
      </c>
      <c r="I2150" s="75" t="s">
        <v>385</v>
      </c>
      <c r="J2150" s="4"/>
    </row>
    <row r="2151" spans="1:10" x14ac:dyDescent="0.25">
      <c r="A2151" s="39">
        <v>2150</v>
      </c>
      <c r="B2151" s="3" t="s">
        <v>576</v>
      </c>
      <c r="C2151" s="75" t="s">
        <v>1129</v>
      </c>
      <c r="D2151" s="75" t="s">
        <v>435</v>
      </c>
      <c r="E2151" s="75" t="str">
        <f t="shared" si="44"/>
        <v>০</v>
      </c>
      <c r="F2151" s="22" t="str">
        <f>"8119457810307"</f>
        <v>8119457810307</v>
      </c>
      <c r="G2151" s="75" t="str">
        <f>"১৩০৩০৬১৮০৩৫৬"</f>
        <v>১৩০৩০৬১৮০৩৫৬</v>
      </c>
      <c r="H2151" s="75" t="s">
        <v>323</v>
      </c>
      <c r="I2151" s="75" t="s">
        <v>323</v>
      </c>
      <c r="J2151" s="4"/>
    </row>
    <row r="2152" spans="1:10" x14ac:dyDescent="0.25">
      <c r="A2152" s="39">
        <v>2151</v>
      </c>
      <c r="B2152" s="3" t="s">
        <v>1130</v>
      </c>
      <c r="C2152" s="75" t="s">
        <v>1129</v>
      </c>
      <c r="D2152" s="75" t="s">
        <v>435</v>
      </c>
      <c r="E2152" s="75" t="str">
        <f t="shared" si="44"/>
        <v>০</v>
      </c>
      <c r="F2152" s="22" t="str">
        <f>"8119457810301"</f>
        <v>8119457810301</v>
      </c>
      <c r="G2152" s="75" t="str">
        <f>"১৩০৩০৬১৮০৩৫৫"</f>
        <v>১৩০৩০৬১৮০৩৫৫</v>
      </c>
      <c r="H2152" s="75" t="s">
        <v>456</v>
      </c>
      <c r="I2152" s="75" t="s">
        <v>456</v>
      </c>
      <c r="J2152" s="4"/>
    </row>
    <row r="2153" spans="1:10" x14ac:dyDescent="0.25">
      <c r="A2153" s="39">
        <v>2152</v>
      </c>
      <c r="B2153" s="3" t="s">
        <v>479</v>
      </c>
      <c r="C2153" s="75" t="s">
        <v>1129</v>
      </c>
      <c r="D2153" s="75" t="s">
        <v>435</v>
      </c>
      <c r="E2153" s="75" t="str">
        <f t="shared" si="44"/>
        <v>০</v>
      </c>
      <c r="F2153" s="22" t="str">
        <f>"8119457810310"</f>
        <v>8119457810310</v>
      </c>
      <c r="G2153" s="75" t="str">
        <f>"১৩০৩০৬১৮০৩৫৪"</f>
        <v>১৩০৩০৬১৮০৩৫৪</v>
      </c>
      <c r="H2153" s="75" t="s">
        <v>371</v>
      </c>
      <c r="I2153" s="75" t="s">
        <v>371</v>
      </c>
      <c r="J2153" s="4"/>
    </row>
    <row r="2154" spans="1:10" x14ac:dyDescent="0.25">
      <c r="A2154" s="39">
        <v>2153</v>
      </c>
      <c r="B2154" s="3" t="s">
        <v>1131</v>
      </c>
      <c r="C2154" s="75" t="s">
        <v>1132</v>
      </c>
      <c r="D2154" s="75" t="s">
        <v>435</v>
      </c>
      <c r="E2154" s="75" t="str">
        <f t="shared" si="44"/>
        <v>০</v>
      </c>
      <c r="F2154" s="22" t="str">
        <f>"8119457774297"</f>
        <v>8119457774297</v>
      </c>
      <c r="G2154" s="75" t="str">
        <f>"১৩০৩০৬১৮০৩৫৩"</f>
        <v>১৩০৩০৬১৮০৩৫৩</v>
      </c>
      <c r="H2154" s="75" t="s">
        <v>371</v>
      </c>
      <c r="I2154" s="75" t="s">
        <v>371</v>
      </c>
      <c r="J2154" s="4"/>
    </row>
    <row r="2155" spans="1:10" x14ac:dyDescent="0.25">
      <c r="A2155" s="39">
        <v>2154</v>
      </c>
      <c r="B2155" s="3" t="s">
        <v>1534</v>
      </c>
      <c r="C2155" s="75" t="s">
        <v>1133</v>
      </c>
      <c r="D2155" s="75" t="s">
        <v>435</v>
      </c>
      <c r="E2155" s="75" t="str">
        <f t="shared" si="44"/>
        <v>০</v>
      </c>
      <c r="F2155" s="22" t="str">
        <f>"8119457810397"</f>
        <v>8119457810397</v>
      </c>
      <c r="G2155" s="75" t="str">
        <f>"১৩০৩০৬১৮০৩৫২"</f>
        <v>১৩০৩০৬১৮০৩৫২</v>
      </c>
      <c r="H2155" s="75" t="s">
        <v>460</v>
      </c>
      <c r="I2155" s="75" t="s">
        <v>460</v>
      </c>
      <c r="J2155" s="4"/>
    </row>
    <row r="2156" spans="1:10" x14ac:dyDescent="0.25">
      <c r="A2156" s="39">
        <v>2155</v>
      </c>
      <c r="B2156" s="3" t="s">
        <v>1134</v>
      </c>
      <c r="C2156" s="75" t="s">
        <v>1135</v>
      </c>
      <c r="D2156" s="75" t="s">
        <v>435</v>
      </c>
      <c r="E2156" s="75" t="str">
        <f t="shared" si="44"/>
        <v>০</v>
      </c>
      <c r="F2156" s="22" t="str">
        <f>"8119457810371"</f>
        <v>8119457810371</v>
      </c>
      <c r="G2156" s="75" t="str">
        <f>"১৩০৩০৬১৮০৩৫১"</f>
        <v>১৩০৩০৬১৮০৩৫১</v>
      </c>
      <c r="H2156" s="75" t="s">
        <v>329</v>
      </c>
      <c r="I2156" s="75" t="s">
        <v>329</v>
      </c>
      <c r="J2156" s="4"/>
    </row>
    <row r="2157" spans="1:10" x14ac:dyDescent="0.25">
      <c r="A2157" s="39">
        <v>2156</v>
      </c>
      <c r="B2157" s="3" t="s">
        <v>1136</v>
      </c>
      <c r="C2157" s="75" t="s">
        <v>1137</v>
      </c>
      <c r="D2157" s="75" t="s">
        <v>435</v>
      </c>
      <c r="E2157" s="75" t="str">
        <f t="shared" si="44"/>
        <v>০</v>
      </c>
      <c r="F2157" s="22" t="str">
        <f>"8119457810433"</f>
        <v>8119457810433</v>
      </c>
      <c r="G2157" s="75" t="str">
        <f>"১৩০৩০৬১৮০৩৫০"</f>
        <v>১৩০৩০৬১৮০৩৫০</v>
      </c>
      <c r="H2157" s="75" t="s">
        <v>319</v>
      </c>
      <c r="I2157" s="75" t="s">
        <v>319</v>
      </c>
      <c r="J2157" s="4"/>
    </row>
    <row r="2158" spans="1:10" x14ac:dyDescent="0.25">
      <c r="A2158" s="39">
        <v>2157</v>
      </c>
      <c r="B2158" s="3" t="s">
        <v>1138</v>
      </c>
      <c r="C2158" s="75" t="s">
        <v>1139</v>
      </c>
      <c r="D2158" s="75" t="s">
        <v>435</v>
      </c>
      <c r="E2158" s="75" t="str">
        <f t="shared" si="44"/>
        <v>০</v>
      </c>
      <c r="F2158" s="22" t="str">
        <f>"8119457810348"</f>
        <v>8119457810348</v>
      </c>
      <c r="G2158" s="75" t="str">
        <f>"১৩০৩০৬১৮০৩৪৯"</f>
        <v>১৩০৩০৬১৮০৩৪৯</v>
      </c>
      <c r="H2158" s="75" t="s">
        <v>322</v>
      </c>
      <c r="I2158" s="75" t="s">
        <v>322</v>
      </c>
      <c r="J2158" s="4"/>
    </row>
    <row r="2159" spans="1:10" x14ac:dyDescent="0.25">
      <c r="A2159" s="39">
        <v>2158</v>
      </c>
      <c r="B2159" s="3" t="s">
        <v>1140</v>
      </c>
      <c r="C2159" s="75" t="s">
        <v>1141</v>
      </c>
      <c r="D2159" s="75" t="s">
        <v>435</v>
      </c>
      <c r="E2159" s="75" t="str">
        <f t="shared" si="44"/>
        <v>০</v>
      </c>
      <c r="F2159" s="22" t="str">
        <f>"8119457774315"</f>
        <v>8119457774315</v>
      </c>
      <c r="G2159" s="75" t="str">
        <f>"১৩০৩০৬১৮০৩৪৮"</f>
        <v>১৩০৩০৬১৮০৩৪৮</v>
      </c>
      <c r="H2159" s="75" t="s">
        <v>323</v>
      </c>
      <c r="I2159" s="75" t="s">
        <v>323</v>
      </c>
      <c r="J2159" s="4"/>
    </row>
    <row r="2160" spans="1:10" x14ac:dyDescent="0.25">
      <c r="A2160" s="39">
        <v>2159</v>
      </c>
      <c r="B2160" s="3" t="s">
        <v>1142</v>
      </c>
      <c r="C2160" s="75" t="s">
        <v>583</v>
      </c>
      <c r="D2160" s="75" t="s">
        <v>435</v>
      </c>
      <c r="E2160" s="75" t="str">
        <f t="shared" si="44"/>
        <v>০</v>
      </c>
      <c r="F2160" s="22" t="str">
        <f>"8119457774260"</f>
        <v>8119457774260</v>
      </c>
      <c r="G2160" s="75" t="str">
        <f>"১৩০৩০৬১৮০৩৪৭"</f>
        <v>১৩০৩০৬১৮০৩৪৭</v>
      </c>
      <c r="H2160" s="75" t="s">
        <v>467</v>
      </c>
      <c r="I2160" s="75" t="s">
        <v>467</v>
      </c>
      <c r="J2160" s="4"/>
    </row>
    <row r="2161" spans="1:10" x14ac:dyDescent="0.25">
      <c r="A2161" s="39">
        <v>2160</v>
      </c>
      <c r="B2161" s="3" t="s">
        <v>1143</v>
      </c>
      <c r="C2161" s="75" t="s">
        <v>1144</v>
      </c>
      <c r="D2161" s="75" t="s">
        <v>435</v>
      </c>
      <c r="E2161" s="75" t="str">
        <f t="shared" si="44"/>
        <v>০</v>
      </c>
      <c r="F2161" s="22" t="str">
        <f>"8119457774306"</f>
        <v>8119457774306</v>
      </c>
      <c r="G2161" s="75" t="str">
        <f>"১৩০৩০৬১৮০৩৪৬"</f>
        <v>১৩০৩০৬১৮০৩৪৬</v>
      </c>
      <c r="H2161" s="75" t="s">
        <v>392</v>
      </c>
      <c r="I2161" s="75" t="s">
        <v>392</v>
      </c>
      <c r="J2161" s="4"/>
    </row>
    <row r="2162" spans="1:10" x14ac:dyDescent="0.25">
      <c r="A2162" s="39">
        <v>2161</v>
      </c>
      <c r="B2162" s="3" t="s">
        <v>1145</v>
      </c>
      <c r="C2162" s="75" t="s">
        <v>616</v>
      </c>
      <c r="D2162" s="75" t="s">
        <v>435</v>
      </c>
      <c r="E2162" s="75" t="str">
        <f t="shared" si="44"/>
        <v>০</v>
      </c>
      <c r="F2162" s="22" t="str">
        <f>"8119457810423"</f>
        <v>8119457810423</v>
      </c>
      <c r="G2162" s="75" t="str">
        <f>"১৩০৩০৬১৮০৩৪৫"</f>
        <v>১৩০৩০৬১৮০৩৪৫</v>
      </c>
      <c r="H2162" s="75" t="s">
        <v>472</v>
      </c>
      <c r="I2162" s="75" t="s">
        <v>472</v>
      </c>
      <c r="J2162" s="4"/>
    </row>
    <row r="2163" spans="1:10" x14ac:dyDescent="0.25">
      <c r="A2163" s="39">
        <v>2162</v>
      </c>
      <c r="B2163" s="3" t="s">
        <v>1146</v>
      </c>
      <c r="C2163" s="75" t="s">
        <v>1147</v>
      </c>
      <c r="D2163" s="75" t="s">
        <v>435</v>
      </c>
      <c r="E2163" s="75" t="str">
        <f t="shared" si="44"/>
        <v>০</v>
      </c>
      <c r="F2163" s="22" t="str">
        <f>"8119457"</f>
        <v>8119457</v>
      </c>
      <c r="G2163" s="75" t="str">
        <f>"১৩০৩০৬১৮০৩৪৪"</f>
        <v>১৩০৩০৬১৮০৩৪৪</v>
      </c>
      <c r="H2163" s="75" t="s">
        <v>321</v>
      </c>
      <c r="I2163" s="75" t="s">
        <v>321</v>
      </c>
      <c r="J2163" s="4"/>
    </row>
    <row r="2164" spans="1:10" x14ac:dyDescent="0.25">
      <c r="A2164" s="39">
        <v>2163</v>
      </c>
      <c r="B2164" s="3" t="s">
        <v>1148</v>
      </c>
      <c r="C2164" s="75" t="s">
        <v>1149</v>
      </c>
      <c r="D2164" s="75" t="s">
        <v>435</v>
      </c>
      <c r="E2164" s="75" t="str">
        <f t="shared" si="44"/>
        <v>০</v>
      </c>
      <c r="F2164" s="22" t="str">
        <f>"8119457000241"</f>
        <v>8119457000241</v>
      </c>
      <c r="G2164" s="75" t="str">
        <f>"১৩০৩০৬১৮০৩৪৩"</f>
        <v>১৩০৩০৬১৮০৩৪৩</v>
      </c>
      <c r="H2164" s="75" t="s">
        <v>460</v>
      </c>
      <c r="I2164" s="75" t="s">
        <v>460</v>
      </c>
      <c r="J2164" s="4"/>
    </row>
    <row r="2165" spans="1:10" x14ac:dyDescent="0.25">
      <c r="A2165" s="39">
        <v>2164</v>
      </c>
      <c r="B2165" s="3" t="s">
        <v>1150</v>
      </c>
      <c r="C2165" s="75" t="s">
        <v>1144</v>
      </c>
      <c r="D2165" s="75" t="s">
        <v>435</v>
      </c>
      <c r="E2165" s="75" t="str">
        <f t="shared" si="44"/>
        <v>০</v>
      </c>
      <c r="F2165" s="22" t="str">
        <f>"8119457774308"</f>
        <v>8119457774308</v>
      </c>
      <c r="G2165" s="75" t="str">
        <f>"১৩০৩০৬১৮০৩৪২"</f>
        <v>১৩০৩০৬১৮০৩৪২</v>
      </c>
      <c r="H2165" s="75" t="s">
        <v>322</v>
      </c>
      <c r="I2165" s="75" t="s">
        <v>322</v>
      </c>
      <c r="J2165" s="4"/>
    </row>
    <row r="2166" spans="1:10" x14ac:dyDescent="0.25">
      <c r="A2166" s="39">
        <v>2165</v>
      </c>
      <c r="B2166" s="3" t="s">
        <v>1151</v>
      </c>
      <c r="C2166" s="75" t="s">
        <v>1152</v>
      </c>
      <c r="D2166" s="75" t="s">
        <v>435</v>
      </c>
      <c r="E2166" s="75" t="str">
        <f t="shared" si="44"/>
        <v>০</v>
      </c>
      <c r="F2166" s="22" t="str">
        <f>"8119457774313"</f>
        <v>8119457774313</v>
      </c>
      <c r="G2166" s="75" t="str">
        <f>"১৩০৩০৬১৮০৩৪১"</f>
        <v>১৩০৩০৬১৮০৩৪১</v>
      </c>
      <c r="H2166" s="75" t="s">
        <v>460</v>
      </c>
      <c r="I2166" s="75" t="s">
        <v>460</v>
      </c>
      <c r="J2166" s="4"/>
    </row>
    <row r="2167" spans="1:10" x14ac:dyDescent="0.25">
      <c r="A2167" s="39">
        <v>2166</v>
      </c>
      <c r="B2167" s="3" t="s">
        <v>1153</v>
      </c>
      <c r="C2167" s="75" t="s">
        <v>616</v>
      </c>
      <c r="D2167" s="75" t="s">
        <v>435</v>
      </c>
      <c r="E2167" s="75" t="str">
        <f t="shared" si="44"/>
        <v>০</v>
      </c>
      <c r="F2167" s="22" t="str">
        <f>"8119457774244"</f>
        <v>8119457774244</v>
      </c>
      <c r="G2167" s="75" t="str">
        <f>"১৩০৩০৬১৮০৩৪০"</f>
        <v>১৩০৩০৬১৮০৩৪০</v>
      </c>
      <c r="H2167" s="75" t="s">
        <v>319</v>
      </c>
      <c r="I2167" s="75" t="s">
        <v>319</v>
      </c>
      <c r="J2167" s="4"/>
    </row>
    <row r="2168" spans="1:10" x14ac:dyDescent="0.25">
      <c r="A2168" s="39">
        <v>2167</v>
      </c>
      <c r="B2168" s="3" t="s">
        <v>1154</v>
      </c>
      <c r="C2168" s="75" t="s">
        <v>1130</v>
      </c>
      <c r="D2168" s="75" t="s">
        <v>435</v>
      </c>
      <c r="E2168" s="75" t="str">
        <f t="shared" si="44"/>
        <v>০</v>
      </c>
      <c r="F2168" s="22" t="str">
        <f>"8119457800304"</f>
        <v>8119457800304</v>
      </c>
      <c r="G2168" s="75" t="str">
        <f>"১৩০৩০৬১৮০৩৩৯"</f>
        <v>১৩০৩০৬১৮০৩৩৯</v>
      </c>
      <c r="H2168" s="75" t="s">
        <v>371</v>
      </c>
      <c r="I2168" s="75" t="s">
        <v>371</v>
      </c>
      <c r="J2168" s="4"/>
    </row>
    <row r="2169" spans="1:10" x14ac:dyDescent="0.25">
      <c r="A2169" s="39">
        <v>2168</v>
      </c>
      <c r="B2169" s="3" t="s">
        <v>1155</v>
      </c>
      <c r="C2169" s="75" t="s">
        <v>583</v>
      </c>
      <c r="D2169" s="75" t="s">
        <v>435</v>
      </c>
      <c r="E2169" s="75" t="str">
        <f t="shared" si="44"/>
        <v>০</v>
      </c>
      <c r="F2169" s="22" t="str">
        <f>"8119457774163"</f>
        <v>8119457774163</v>
      </c>
      <c r="G2169" s="75" t="str">
        <f>"১৩০৩০৬১৮০৩৩৮"</f>
        <v>১৩০৩০৬১৮০৩৩৮</v>
      </c>
      <c r="H2169" s="75" t="s">
        <v>357</v>
      </c>
      <c r="I2169" s="75" t="s">
        <v>357</v>
      </c>
      <c r="J2169" s="4"/>
    </row>
    <row r="2170" spans="1:10" x14ac:dyDescent="0.25">
      <c r="A2170" s="39">
        <v>2169</v>
      </c>
      <c r="B2170" s="3" t="s">
        <v>1156</v>
      </c>
      <c r="C2170" s="75" t="s">
        <v>1157</v>
      </c>
      <c r="D2170" s="75" t="s">
        <v>435</v>
      </c>
      <c r="E2170" s="75" t="str">
        <f t="shared" si="44"/>
        <v>০</v>
      </c>
      <c r="F2170" s="22" t="str">
        <f>"8119457774318"</f>
        <v>8119457774318</v>
      </c>
      <c r="G2170" s="75" t="str">
        <f>"১৩০৩০৬১৮০৩৩৭"</f>
        <v>১৩০৩০৬১৮০৩৩৭</v>
      </c>
      <c r="H2170" s="75" t="s">
        <v>486</v>
      </c>
      <c r="I2170" s="75" t="s">
        <v>486</v>
      </c>
      <c r="J2170" s="4"/>
    </row>
    <row r="2171" spans="1:10" x14ac:dyDescent="0.25">
      <c r="A2171" s="39">
        <v>2170</v>
      </c>
      <c r="B2171" s="3" t="s">
        <v>3024</v>
      </c>
      <c r="C2171" s="75" t="s">
        <v>1158</v>
      </c>
      <c r="D2171" s="75" t="s">
        <v>435</v>
      </c>
      <c r="E2171" s="75" t="str">
        <f t="shared" si="44"/>
        <v>০</v>
      </c>
      <c r="F2171" s="22" t="str">
        <f>"8119457774148"</f>
        <v>8119457774148</v>
      </c>
      <c r="G2171" s="75" t="str">
        <f>"১৩০৩০৬১৮০৩৩৬"</f>
        <v>১৩০৩০৬১৮০৩৩৬</v>
      </c>
      <c r="H2171" s="75" t="s">
        <v>371</v>
      </c>
      <c r="I2171" s="75" t="s">
        <v>371</v>
      </c>
      <c r="J2171" s="4"/>
    </row>
    <row r="2172" spans="1:10" x14ac:dyDescent="0.25">
      <c r="A2172" s="39">
        <v>2171</v>
      </c>
      <c r="B2172" s="3" t="s">
        <v>1159</v>
      </c>
      <c r="C2172" s="75" t="s">
        <v>1160</v>
      </c>
      <c r="D2172" s="75" t="s">
        <v>435</v>
      </c>
      <c r="E2172" s="75" t="str">
        <f t="shared" si="44"/>
        <v>০</v>
      </c>
      <c r="F2172" s="22" t="str">
        <f>"8119457000087"</f>
        <v>8119457000087</v>
      </c>
      <c r="G2172" s="75" t="str">
        <f>"১৩০৩০৬১৮০৩৩৫"</f>
        <v>১৩০৩০৬১৮০৩৩৫</v>
      </c>
      <c r="H2172" s="75" t="s">
        <v>371</v>
      </c>
      <c r="I2172" s="75" t="s">
        <v>371</v>
      </c>
      <c r="J2172" s="4"/>
    </row>
    <row r="2173" spans="1:10" x14ac:dyDescent="0.25">
      <c r="A2173" s="39">
        <v>2172</v>
      </c>
      <c r="B2173" s="3" t="s">
        <v>1161</v>
      </c>
      <c r="C2173" s="75" t="s">
        <v>1162</v>
      </c>
      <c r="D2173" s="75" t="s">
        <v>435</v>
      </c>
      <c r="E2173" s="75" t="str">
        <f t="shared" si="44"/>
        <v>০</v>
      </c>
      <c r="F2173" s="22" t="str">
        <f>"8119457000026"</f>
        <v>8119457000026</v>
      </c>
      <c r="G2173" s="75" t="str">
        <f>"১৩০৩০৬১৮০৩৩৪"</f>
        <v>১৩০৩০৬১৮০৩৩৪</v>
      </c>
      <c r="H2173" s="75" t="s">
        <v>385</v>
      </c>
      <c r="I2173" s="75" t="s">
        <v>385</v>
      </c>
      <c r="J2173" s="4"/>
    </row>
    <row r="2174" spans="1:10" x14ac:dyDescent="0.25">
      <c r="A2174" s="39">
        <v>2173</v>
      </c>
      <c r="B2174" s="3" t="s">
        <v>1163</v>
      </c>
      <c r="C2174" s="75" t="s">
        <v>1164</v>
      </c>
      <c r="D2174" s="75" t="s">
        <v>435</v>
      </c>
      <c r="E2174" s="75" t="str">
        <f t="shared" si="44"/>
        <v>০</v>
      </c>
      <c r="F2174" s="22" t="str">
        <f>"8119457810430"</f>
        <v>8119457810430</v>
      </c>
      <c r="G2174" s="75" t="str">
        <f>"১৩০৩০৬১৮০৩৩৩"</f>
        <v>১৩০৩০৬১৮০৩৩৩</v>
      </c>
      <c r="H2174" s="75" t="s">
        <v>495</v>
      </c>
      <c r="I2174" s="75" t="s">
        <v>495</v>
      </c>
      <c r="J2174" s="4"/>
    </row>
    <row r="2175" spans="1:10" x14ac:dyDescent="0.25">
      <c r="A2175" s="39">
        <v>2174</v>
      </c>
      <c r="B2175" s="3" t="s">
        <v>1165</v>
      </c>
      <c r="C2175" s="75" t="s">
        <v>616</v>
      </c>
      <c r="D2175" s="75" t="s">
        <v>435</v>
      </c>
      <c r="E2175" s="75" t="str">
        <f t="shared" si="44"/>
        <v>০</v>
      </c>
      <c r="F2175" s="22" t="str">
        <f>"8119457774244"</f>
        <v>8119457774244</v>
      </c>
      <c r="G2175" s="75" t="str">
        <f>"১৩০৩০৬১৮০৩৩২"</f>
        <v>১৩০৩০৬১৮০৩৩২</v>
      </c>
      <c r="H2175" s="75" t="s">
        <v>322</v>
      </c>
      <c r="I2175" s="75" t="s">
        <v>322</v>
      </c>
      <c r="J2175" s="4"/>
    </row>
    <row r="2176" spans="1:10" x14ac:dyDescent="0.25">
      <c r="A2176" s="39">
        <v>2175</v>
      </c>
      <c r="B2176" s="3" t="s">
        <v>1166</v>
      </c>
      <c r="C2176" s="75" t="s">
        <v>387</v>
      </c>
      <c r="D2176" s="75" t="s">
        <v>435</v>
      </c>
      <c r="E2176" s="75" t="str">
        <f t="shared" si="44"/>
        <v>০</v>
      </c>
      <c r="F2176" s="22" t="str">
        <f>"8119457374278"</f>
        <v>8119457374278</v>
      </c>
      <c r="G2176" s="75" t="str">
        <f>"১৩০৩০৬১৮০৩৩১"</f>
        <v>১৩০৩০৬১৮০৩৩১</v>
      </c>
      <c r="H2176" s="75" t="s">
        <v>346</v>
      </c>
      <c r="I2176" s="75" t="s">
        <v>346</v>
      </c>
      <c r="J2176" s="4"/>
    </row>
    <row r="2177" spans="1:10" x14ac:dyDescent="0.25">
      <c r="A2177" s="39">
        <v>2176</v>
      </c>
      <c r="B2177" s="3" t="s">
        <v>387</v>
      </c>
      <c r="C2177" s="75" t="s">
        <v>1167</v>
      </c>
      <c r="D2177" s="75" t="s">
        <v>435</v>
      </c>
      <c r="E2177" s="75" t="str">
        <f t="shared" si="44"/>
        <v>০</v>
      </c>
      <c r="F2177" s="22" t="str">
        <f>"8119457774296"</f>
        <v>8119457774296</v>
      </c>
      <c r="G2177" s="75" t="str">
        <f>"১৩০৩০৬১৮০৩৩০"</f>
        <v>১৩০৩০৬১৮০৩৩০</v>
      </c>
      <c r="H2177" s="75" t="s">
        <v>319</v>
      </c>
      <c r="I2177" s="75" t="s">
        <v>319</v>
      </c>
      <c r="J2177" s="4"/>
    </row>
    <row r="2178" spans="1:10" x14ac:dyDescent="0.25">
      <c r="A2178" s="39">
        <v>2177</v>
      </c>
      <c r="B2178" s="3" t="s">
        <v>508</v>
      </c>
      <c r="C2178" s="75" t="s">
        <v>533</v>
      </c>
      <c r="D2178" s="75" t="s">
        <v>498</v>
      </c>
      <c r="E2178" s="75" t="str">
        <f>"০১৭৩৬-৪১০১৯৪"</f>
        <v>০১৭৩৬-৪১০১৯৪</v>
      </c>
      <c r="F2178" s="22" t="str">
        <f>"8119457774787"</f>
        <v>8119457774787</v>
      </c>
      <c r="G2178" s="75" t="str">
        <f>"১৩০৩০৬১৮০৩১১"</f>
        <v>১৩০৩০৬১৮০৩১১</v>
      </c>
      <c r="H2178" s="75" t="s">
        <v>323</v>
      </c>
      <c r="I2178" s="75" t="s">
        <v>323</v>
      </c>
      <c r="J2178" s="4"/>
    </row>
    <row r="2179" spans="1:10" x14ac:dyDescent="0.25">
      <c r="A2179" s="39">
        <v>2178</v>
      </c>
      <c r="B2179" s="3" t="s">
        <v>1168</v>
      </c>
      <c r="C2179" s="75" t="s">
        <v>3084</v>
      </c>
      <c r="D2179" s="75" t="s">
        <v>498</v>
      </c>
      <c r="E2179" s="75" t="str">
        <f>"০১৭৬১-৫৭৩৮৬৩"</f>
        <v>০১৭৬১-৫৭৩৮৬৩</v>
      </c>
      <c r="F2179" s="22" t="str">
        <f>"8119457774675"</f>
        <v>8119457774675</v>
      </c>
      <c r="G2179" s="75" t="str">
        <f>"১৩০৩০৬১৮০৩১০"</f>
        <v>১৩০৩০৬১৮০৩১০</v>
      </c>
      <c r="H2179" s="75" t="s">
        <v>346</v>
      </c>
      <c r="I2179" s="75" t="s">
        <v>346</v>
      </c>
      <c r="J2179" s="4"/>
    </row>
    <row r="2180" spans="1:10" x14ac:dyDescent="0.25">
      <c r="A2180" s="39">
        <v>2179</v>
      </c>
      <c r="B2180" s="3" t="s">
        <v>2966</v>
      </c>
      <c r="C2180" s="75" t="s">
        <v>2967</v>
      </c>
      <c r="D2180" s="75" t="s">
        <v>498</v>
      </c>
      <c r="E2180" s="75" t="str">
        <f>"০১৭৪১-৫৩৮৩০২"</f>
        <v>০১৭৪১-৫৩৮৩০২</v>
      </c>
      <c r="F2180" s="22" t="str">
        <f>"8119457810035"</f>
        <v>8119457810035</v>
      </c>
      <c r="G2180" s="75" t="str">
        <f>"১৩০৩০৬১৮০৩০৯"</f>
        <v>১৩০৩০৬১৮০৩০৯</v>
      </c>
      <c r="H2180" s="75" t="s">
        <v>362</v>
      </c>
      <c r="I2180" s="75" t="s">
        <v>362</v>
      </c>
      <c r="J2180" s="4"/>
    </row>
    <row r="2181" spans="1:10" x14ac:dyDescent="0.25">
      <c r="A2181" s="39">
        <v>2180</v>
      </c>
      <c r="B2181" s="3" t="s">
        <v>534</v>
      </c>
      <c r="C2181" s="75" t="s">
        <v>2968</v>
      </c>
      <c r="D2181" s="75" t="s">
        <v>498</v>
      </c>
      <c r="E2181" s="75" t="str">
        <f>"০"</f>
        <v>০</v>
      </c>
      <c r="F2181" s="22" t="str">
        <f>"8119457810165"</f>
        <v>8119457810165</v>
      </c>
      <c r="G2181" s="75" t="str">
        <f>"১৩০৩০৬১৮০৩০৮"</f>
        <v>১৩০৩০৬১৮০৩০৮</v>
      </c>
      <c r="H2181" s="75" t="s">
        <v>322</v>
      </c>
      <c r="I2181" s="75" t="s">
        <v>322</v>
      </c>
      <c r="J2181" s="4"/>
    </row>
    <row r="2182" spans="1:10" x14ac:dyDescent="0.25">
      <c r="A2182" s="39">
        <v>2181</v>
      </c>
      <c r="B2182" s="3" t="s">
        <v>3085</v>
      </c>
      <c r="C2182" s="75" t="s">
        <v>3086</v>
      </c>
      <c r="D2182" s="75" t="s">
        <v>498</v>
      </c>
      <c r="E2182" s="75" t="str">
        <f>"০১৭২০-২২৯৫৮৫"</f>
        <v>০১৭২০-২২৯৫৮৫</v>
      </c>
      <c r="F2182" s="22" t="str">
        <f>"8119457774868"</f>
        <v>8119457774868</v>
      </c>
      <c r="G2182" s="75" t="str">
        <f>"১৩০৩০৬১৮০৩০৭"</f>
        <v>১৩০৩০৬১৮০৩০৭</v>
      </c>
      <c r="H2182" s="75" t="s">
        <v>346</v>
      </c>
      <c r="I2182" s="75" t="s">
        <v>346</v>
      </c>
      <c r="J2182" s="4"/>
    </row>
    <row r="2183" spans="1:10" x14ac:dyDescent="0.25">
      <c r="A2183" s="39">
        <v>2182</v>
      </c>
      <c r="B2183" s="3" t="s">
        <v>881</v>
      </c>
      <c r="C2183" s="75" t="s">
        <v>1169</v>
      </c>
      <c r="D2183" s="75" t="s">
        <v>498</v>
      </c>
      <c r="E2183" s="75" t="str">
        <f>"০"</f>
        <v>০</v>
      </c>
      <c r="F2183" s="22" t="str">
        <f>"8119457"</f>
        <v>8119457</v>
      </c>
      <c r="G2183" s="75" t="str">
        <f>"১৩০৩০৬১৮০৩০৬"</f>
        <v>১৩০৩০৬১৮০৩০৬</v>
      </c>
      <c r="H2183" s="75" t="s">
        <v>362</v>
      </c>
      <c r="I2183" s="75" t="s">
        <v>362</v>
      </c>
      <c r="J2183" s="4"/>
    </row>
    <row r="2184" spans="1:10" x14ac:dyDescent="0.25">
      <c r="A2184" s="39">
        <v>2183</v>
      </c>
      <c r="B2184" s="3" t="s">
        <v>1170</v>
      </c>
      <c r="C2184" s="75" t="s">
        <v>1171</v>
      </c>
      <c r="D2184" s="75" t="s">
        <v>498</v>
      </c>
      <c r="E2184" s="75" t="str">
        <f>"০"</f>
        <v>০</v>
      </c>
      <c r="F2184" s="22" t="str">
        <f>"8119457834955"</f>
        <v>8119457834955</v>
      </c>
      <c r="G2184" s="75" t="str">
        <f>"১৩০৩০৬১৮০৩০৫"</f>
        <v>১৩০৩০৬১৮০৩০৫</v>
      </c>
      <c r="H2184" s="75" t="s">
        <v>326</v>
      </c>
      <c r="I2184" s="75" t="s">
        <v>326</v>
      </c>
      <c r="J2184" s="4"/>
    </row>
    <row r="2185" spans="1:10" x14ac:dyDescent="0.25">
      <c r="A2185" s="39">
        <v>2184</v>
      </c>
      <c r="B2185" s="3" t="s">
        <v>1172</v>
      </c>
      <c r="C2185" s="75" t="s">
        <v>3087</v>
      </c>
      <c r="D2185" s="75" t="s">
        <v>498</v>
      </c>
      <c r="E2185" s="75" t="str">
        <f>"০"</f>
        <v>০</v>
      </c>
      <c r="F2185" s="22" t="str">
        <f>"8119457774926"</f>
        <v>8119457774926</v>
      </c>
      <c r="G2185" s="75" t="str">
        <f>"১৩০৩০৬১৮০৩০৪"</f>
        <v>১৩০৩০৬১৮০৩০৪</v>
      </c>
      <c r="H2185" s="75" t="s">
        <v>322</v>
      </c>
      <c r="I2185" s="75" t="s">
        <v>322</v>
      </c>
      <c r="J2185" s="4"/>
    </row>
    <row r="2186" spans="1:10" x14ac:dyDescent="0.25">
      <c r="A2186" s="39">
        <v>2185</v>
      </c>
      <c r="B2186" s="3" t="s">
        <v>2281</v>
      </c>
      <c r="C2186" s="75" t="s">
        <v>447</v>
      </c>
      <c r="D2186" s="75" t="s">
        <v>498</v>
      </c>
      <c r="E2186" s="75" t="str">
        <f>"০"</f>
        <v>০</v>
      </c>
      <c r="F2186" s="22" t="str">
        <f>"8119457774918"</f>
        <v>8119457774918</v>
      </c>
      <c r="G2186" s="75" t="str">
        <f>"১৩০৩০৬১৮০৩০৩"</f>
        <v>১৩০৩০৬১৮০৩০৩</v>
      </c>
      <c r="H2186" s="75" t="s">
        <v>322</v>
      </c>
      <c r="I2186" s="75" t="s">
        <v>322</v>
      </c>
      <c r="J2186" s="4"/>
    </row>
    <row r="2187" spans="1:10" x14ac:dyDescent="0.25">
      <c r="A2187" s="39">
        <v>2186</v>
      </c>
      <c r="B2187" s="3" t="s">
        <v>1173</v>
      </c>
      <c r="C2187" s="75" t="s">
        <v>2950</v>
      </c>
      <c r="D2187" s="75" t="s">
        <v>498</v>
      </c>
      <c r="E2187" s="75" t="str">
        <f>"০"</f>
        <v>০</v>
      </c>
      <c r="F2187" s="22" t="str">
        <f>"8119457774924"</f>
        <v>8119457774924</v>
      </c>
      <c r="G2187" s="75" t="str">
        <f>"১৩০৩০৬১৮০৩০২"</f>
        <v>১৩০৩০৬১৮০৩০২</v>
      </c>
      <c r="H2187" s="75" t="s">
        <v>346</v>
      </c>
      <c r="I2187" s="75" t="s">
        <v>346</v>
      </c>
      <c r="J2187" s="4"/>
    </row>
    <row r="2188" spans="1:10" x14ac:dyDescent="0.25">
      <c r="A2188" s="39">
        <v>2187</v>
      </c>
      <c r="B2188" s="3" t="s">
        <v>1174</v>
      </c>
      <c r="C2188" s="75" t="s">
        <v>2950</v>
      </c>
      <c r="D2188" s="75" t="s">
        <v>498</v>
      </c>
      <c r="E2188" s="75" t="str">
        <f>"০১৭১৮-১০৪৪৯৪"</f>
        <v>০১৭১৮-১০৪৪৯৪</v>
      </c>
      <c r="F2188" s="22" t="str">
        <f>"8119457774920"</f>
        <v>8119457774920</v>
      </c>
      <c r="G2188" s="75" t="str">
        <f>"১৩০৩০৬১৮০৩০১"</f>
        <v>১৩০৩০৬১৮০৩০১</v>
      </c>
      <c r="H2188" s="75" t="s">
        <v>362</v>
      </c>
      <c r="I2188" s="75" t="s">
        <v>362</v>
      </c>
      <c r="J2188" s="4"/>
    </row>
    <row r="2189" spans="1:10" x14ac:dyDescent="0.25">
      <c r="A2189" s="39">
        <v>2188</v>
      </c>
      <c r="B2189" s="3" t="s">
        <v>1175</v>
      </c>
      <c r="C2189" s="75" t="s">
        <v>1176</v>
      </c>
      <c r="D2189" s="75" t="s">
        <v>498</v>
      </c>
      <c r="E2189" s="75" t="str">
        <f t="shared" ref="E2189:E2239" si="45">"০"</f>
        <v>০</v>
      </c>
      <c r="F2189" s="22" t="str">
        <f>"8119457774750"</f>
        <v>8119457774750</v>
      </c>
      <c r="G2189" s="75" t="str">
        <f>"১৩০৩০৬১৮০৩০০"</f>
        <v>১৩০৩০৬১৮০৩০০</v>
      </c>
      <c r="H2189" s="75" t="s">
        <v>349</v>
      </c>
      <c r="I2189" s="75" t="s">
        <v>349</v>
      </c>
      <c r="J2189" s="4"/>
    </row>
    <row r="2190" spans="1:10" x14ac:dyDescent="0.25">
      <c r="A2190" s="39">
        <v>2189</v>
      </c>
      <c r="B2190" s="3" t="s">
        <v>1177</v>
      </c>
      <c r="C2190" s="75" t="s">
        <v>1178</v>
      </c>
      <c r="D2190" s="75" t="s">
        <v>498</v>
      </c>
      <c r="E2190" s="75" t="str">
        <f t="shared" si="45"/>
        <v>০</v>
      </c>
      <c r="F2190" s="22" t="str">
        <f>"8119457774827"</f>
        <v>8119457774827</v>
      </c>
      <c r="G2190" s="75" t="str">
        <f>"১৩০৩০৬১৮০২৯৯"</f>
        <v>১৩০৩০৬১৮০২৯৯</v>
      </c>
      <c r="H2190" s="75" t="s">
        <v>362</v>
      </c>
      <c r="I2190" s="75" t="s">
        <v>362</v>
      </c>
      <c r="J2190" s="4"/>
    </row>
    <row r="2191" spans="1:10" x14ac:dyDescent="0.25">
      <c r="A2191" s="39">
        <v>2190</v>
      </c>
      <c r="B2191" s="3" t="s">
        <v>541</v>
      </c>
      <c r="C2191" s="75" t="s">
        <v>1714</v>
      </c>
      <c r="D2191" s="75" t="s">
        <v>498</v>
      </c>
      <c r="E2191" s="75" t="str">
        <f t="shared" si="45"/>
        <v>০</v>
      </c>
      <c r="F2191" s="22" t="str">
        <f>"8119457774120"</f>
        <v>8119457774120</v>
      </c>
      <c r="G2191" s="75" t="str">
        <f>"১৩০৩০৬১৮০২৯৮"</f>
        <v>১৩০৩০৬১৮০২৯৮</v>
      </c>
      <c r="H2191" s="75" t="s">
        <v>371</v>
      </c>
      <c r="I2191" s="75" t="s">
        <v>371</v>
      </c>
      <c r="J2191" s="4"/>
    </row>
    <row r="2192" spans="1:10" x14ac:dyDescent="0.25">
      <c r="A2192" s="39">
        <v>2191</v>
      </c>
      <c r="B2192" s="3" t="s">
        <v>1179</v>
      </c>
      <c r="C2192" s="75" t="s">
        <v>447</v>
      </c>
      <c r="D2192" s="75" t="s">
        <v>498</v>
      </c>
      <c r="E2192" s="75" t="str">
        <f t="shared" si="45"/>
        <v>০</v>
      </c>
      <c r="F2192" s="22" t="str">
        <f>"8119457774889"</f>
        <v>8119457774889</v>
      </c>
      <c r="G2192" s="75" t="str">
        <f>"১৩০৩০৬১৮০২৯৭"</f>
        <v>১৩০৩০৬১৮০২৯৭</v>
      </c>
      <c r="H2192" s="75" t="s">
        <v>322</v>
      </c>
      <c r="I2192" s="75" t="s">
        <v>322</v>
      </c>
      <c r="J2192" s="4"/>
    </row>
    <row r="2193" spans="1:10" x14ac:dyDescent="0.25">
      <c r="A2193" s="39">
        <v>2192</v>
      </c>
      <c r="B2193" s="3" t="s">
        <v>1180</v>
      </c>
      <c r="C2193" s="75" t="s">
        <v>447</v>
      </c>
      <c r="D2193" s="75" t="s">
        <v>498</v>
      </c>
      <c r="E2193" s="75" t="str">
        <f t="shared" si="45"/>
        <v>০</v>
      </c>
      <c r="F2193" s="22" t="str">
        <f>"8119457774915"</f>
        <v>8119457774915</v>
      </c>
      <c r="G2193" s="75" t="str">
        <f>"১৩০৩০৬১৮০২৯৬"</f>
        <v>১৩০৩০৬১৮০২৯৬</v>
      </c>
      <c r="H2193" s="75" t="s">
        <v>346</v>
      </c>
      <c r="I2193" s="75" t="s">
        <v>346</v>
      </c>
      <c r="J2193" s="4"/>
    </row>
    <row r="2194" spans="1:10" x14ac:dyDescent="0.25">
      <c r="A2194" s="39">
        <v>2193</v>
      </c>
      <c r="B2194" s="3" t="s">
        <v>1181</v>
      </c>
      <c r="C2194" s="75" t="s">
        <v>517</v>
      </c>
      <c r="D2194" s="75" t="s">
        <v>498</v>
      </c>
      <c r="E2194" s="75" t="str">
        <f t="shared" si="45"/>
        <v>০</v>
      </c>
      <c r="F2194" s="22" t="str">
        <f>"8119457774974"</f>
        <v>8119457774974</v>
      </c>
      <c r="G2194" s="75" t="str">
        <f>"১৩০৩০৬১৮০২৯৫"</f>
        <v>১৩০৩০৬১৮০২৯৫</v>
      </c>
      <c r="H2194" s="75" t="s">
        <v>322</v>
      </c>
      <c r="I2194" s="75" t="s">
        <v>322</v>
      </c>
      <c r="J2194" s="4"/>
    </row>
    <row r="2195" spans="1:10" x14ac:dyDescent="0.25">
      <c r="A2195" s="39">
        <v>2194</v>
      </c>
      <c r="B2195" s="3" t="s">
        <v>1182</v>
      </c>
      <c r="C2195" s="75" t="s">
        <v>1183</v>
      </c>
      <c r="D2195" s="75" t="s">
        <v>498</v>
      </c>
      <c r="E2195" s="75" t="str">
        <f t="shared" si="45"/>
        <v>০</v>
      </c>
      <c r="F2195" s="22" t="str">
        <f>"8119457774854"</f>
        <v>8119457774854</v>
      </c>
      <c r="G2195" s="75" t="str">
        <f>"১৩০৩০৬১৮০২৯৪"</f>
        <v>১৩০৩০৬১৮০২৯৪</v>
      </c>
      <c r="H2195" s="75" t="s">
        <v>322</v>
      </c>
      <c r="I2195" s="75" t="s">
        <v>322</v>
      </c>
      <c r="J2195" s="4"/>
    </row>
    <row r="2196" spans="1:10" x14ac:dyDescent="0.25">
      <c r="A2196" s="39">
        <v>2195</v>
      </c>
      <c r="B2196" s="3" t="s">
        <v>1184</v>
      </c>
      <c r="C2196" s="75" t="s">
        <v>1185</v>
      </c>
      <c r="D2196" s="75" t="s">
        <v>498</v>
      </c>
      <c r="E2196" s="75" t="str">
        <f t="shared" si="45"/>
        <v>০</v>
      </c>
      <c r="F2196" s="22" t="str">
        <f>"8119457774863"</f>
        <v>8119457774863</v>
      </c>
      <c r="G2196" s="75" t="str">
        <f>"১৩০৩০৬১৮০২৯৩"</f>
        <v>১৩০৩০৬১৮০২৯৩</v>
      </c>
      <c r="H2196" s="75" t="s">
        <v>322</v>
      </c>
      <c r="I2196" s="75" t="s">
        <v>322</v>
      </c>
      <c r="J2196" s="4"/>
    </row>
    <row r="2197" spans="1:10" x14ac:dyDescent="0.25">
      <c r="A2197" s="39">
        <v>2196</v>
      </c>
      <c r="B2197" s="3" t="s">
        <v>1186</v>
      </c>
      <c r="C2197" s="75" t="s">
        <v>1187</v>
      </c>
      <c r="D2197" s="75" t="s">
        <v>498</v>
      </c>
      <c r="E2197" s="75" t="str">
        <f t="shared" si="45"/>
        <v>০</v>
      </c>
      <c r="F2197" s="22" t="str">
        <f>"8119457774760"</f>
        <v>8119457774760</v>
      </c>
      <c r="G2197" s="75" t="str">
        <f>"১৩০৩০৬১৮০২৯২"</f>
        <v>১৩০৩০৬১৮০২৯২</v>
      </c>
      <c r="H2197" s="75" t="s">
        <v>322</v>
      </c>
      <c r="I2197" s="75" t="s">
        <v>322</v>
      </c>
      <c r="J2197" s="4"/>
    </row>
    <row r="2198" spans="1:10" x14ac:dyDescent="0.25">
      <c r="A2198" s="39">
        <v>2197</v>
      </c>
      <c r="B2198" s="3" t="s">
        <v>1188</v>
      </c>
      <c r="C2198" s="75" t="s">
        <v>3087</v>
      </c>
      <c r="D2198" s="75" t="s">
        <v>498</v>
      </c>
      <c r="E2198" s="75" t="str">
        <f t="shared" si="45"/>
        <v>০</v>
      </c>
      <c r="F2198" s="22" t="str">
        <f>"8119457000020"</f>
        <v>8119457000020</v>
      </c>
      <c r="G2198" s="75" t="str">
        <f>"১৩০৩০৬১৮০২৯১"</f>
        <v>১৩০৩০৬১৮০২৯১</v>
      </c>
      <c r="H2198" s="75" t="s">
        <v>322</v>
      </c>
      <c r="I2198" s="75" t="s">
        <v>322</v>
      </c>
      <c r="J2198" s="4"/>
    </row>
    <row r="2199" spans="1:10" x14ac:dyDescent="0.25">
      <c r="A2199" s="39">
        <v>2198</v>
      </c>
      <c r="B2199" s="3" t="s">
        <v>734</v>
      </c>
      <c r="C2199" s="75" t="s">
        <v>1189</v>
      </c>
      <c r="D2199" s="75" t="s">
        <v>498</v>
      </c>
      <c r="E2199" s="75" t="str">
        <f t="shared" si="45"/>
        <v>০</v>
      </c>
      <c r="F2199" s="22" t="str">
        <f>"8119457774913"</f>
        <v>8119457774913</v>
      </c>
      <c r="G2199" s="75" t="str">
        <f>"১৩০৩০৬১৮০২৯০"</f>
        <v>১৩০৩০৬১৮০২৯০</v>
      </c>
      <c r="H2199" s="75" t="s">
        <v>456</v>
      </c>
      <c r="I2199" s="75" t="s">
        <v>456</v>
      </c>
      <c r="J2199" s="4"/>
    </row>
    <row r="2200" spans="1:10" x14ac:dyDescent="0.25">
      <c r="A2200" s="39">
        <v>2199</v>
      </c>
      <c r="B2200" s="3" t="s">
        <v>2957</v>
      </c>
      <c r="C2200" s="75" t="s">
        <v>3088</v>
      </c>
      <c r="D2200" s="75" t="s">
        <v>498</v>
      </c>
      <c r="E2200" s="75" t="str">
        <f t="shared" si="45"/>
        <v>০</v>
      </c>
      <c r="F2200" s="22" t="str">
        <f>"8119457774929"</f>
        <v>8119457774929</v>
      </c>
      <c r="G2200" s="75" t="str">
        <f>"১৩০৩০৬১৮০২৮৯"</f>
        <v>১৩০৩০৬১৮০২৮৯</v>
      </c>
      <c r="H2200" s="75" t="s">
        <v>385</v>
      </c>
      <c r="I2200" s="75" t="s">
        <v>385</v>
      </c>
      <c r="J2200" s="4"/>
    </row>
    <row r="2201" spans="1:10" x14ac:dyDescent="0.25">
      <c r="A2201" s="39">
        <v>2200</v>
      </c>
      <c r="B2201" s="3" t="s">
        <v>1190</v>
      </c>
      <c r="C2201" s="75" t="s">
        <v>517</v>
      </c>
      <c r="D2201" s="75" t="s">
        <v>498</v>
      </c>
      <c r="E2201" s="75" t="str">
        <f t="shared" si="45"/>
        <v>০</v>
      </c>
      <c r="F2201" s="22" t="str">
        <f>"8119457774971"</f>
        <v>8119457774971</v>
      </c>
      <c r="G2201" s="75" t="str">
        <f>"১৩০৩০৬১৮০২৮৮"</f>
        <v>১৩০৩০৬১৮০২৮৮</v>
      </c>
      <c r="H2201" s="75" t="s">
        <v>376</v>
      </c>
      <c r="I2201" s="75" t="s">
        <v>376</v>
      </c>
      <c r="J2201" s="4"/>
    </row>
    <row r="2202" spans="1:10" x14ac:dyDescent="0.25">
      <c r="A2202" s="39">
        <v>2201</v>
      </c>
      <c r="B2202" s="3" t="s">
        <v>1191</v>
      </c>
      <c r="C2202" s="75" t="s">
        <v>1192</v>
      </c>
      <c r="D2202" s="75" t="s">
        <v>498</v>
      </c>
      <c r="E2202" s="75" t="str">
        <f t="shared" si="45"/>
        <v>০</v>
      </c>
      <c r="F2202" s="22" t="str">
        <f>"8119457774928"</f>
        <v>8119457774928</v>
      </c>
      <c r="G2202" s="75" t="str">
        <f>"১৩০৩০৬১৮০২৮৭"</f>
        <v>১৩০৩০৬১৮০২৮৭</v>
      </c>
      <c r="H2202" s="75" t="s">
        <v>371</v>
      </c>
      <c r="I2202" s="75" t="s">
        <v>371</v>
      </c>
      <c r="J2202" s="4"/>
    </row>
    <row r="2203" spans="1:10" x14ac:dyDescent="0.25">
      <c r="A2203" s="39">
        <v>2202</v>
      </c>
      <c r="B2203" s="3" t="s">
        <v>1193</v>
      </c>
      <c r="C2203" s="75" t="s">
        <v>2950</v>
      </c>
      <c r="D2203" s="75" t="s">
        <v>498</v>
      </c>
      <c r="E2203" s="75" t="str">
        <f t="shared" si="45"/>
        <v>০</v>
      </c>
      <c r="F2203" s="22" t="str">
        <f>"8119457774922"</f>
        <v>8119457774922</v>
      </c>
      <c r="G2203" s="75" t="str">
        <f>"১৩০৩০৬১৮০২৮৬"</f>
        <v>১৩০৩০৬১৮০২৮৬</v>
      </c>
      <c r="H2203" s="75" t="s">
        <v>346</v>
      </c>
      <c r="I2203" s="75" t="s">
        <v>346</v>
      </c>
      <c r="J2203" s="4"/>
    </row>
    <row r="2204" spans="1:10" x14ac:dyDescent="0.25">
      <c r="A2204" s="39">
        <v>2203</v>
      </c>
      <c r="B2204" s="3" t="s">
        <v>1180</v>
      </c>
      <c r="C2204" s="75" t="s">
        <v>3089</v>
      </c>
      <c r="D2204" s="75" t="s">
        <v>498</v>
      </c>
      <c r="E2204" s="75" t="str">
        <f t="shared" si="45"/>
        <v>০</v>
      </c>
      <c r="F2204" s="22" t="str">
        <f>"8119457774698"</f>
        <v>8119457774698</v>
      </c>
      <c r="G2204" s="75" t="str">
        <f>"১৩০৩০৬১৮০২৮৫"</f>
        <v>১৩০৩০৬১৮০২৮৫</v>
      </c>
      <c r="H2204" s="75" t="s">
        <v>322</v>
      </c>
      <c r="I2204" s="75" t="s">
        <v>322</v>
      </c>
      <c r="J2204" s="4"/>
    </row>
    <row r="2205" spans="1:10" x14ac:dyDescent="0.25">
      <c r="A2205" s="39">
        <v>2204</v>
      </c>
      <c r="B2205" s="3" t="s">
        <v>470</v>
      </c>
      <c r="C2205" s="75" t="s">
        <v>1194</v>
      </c>
      <c r="D2205" s="75" t="s">
        <v>498</v>
      </c>
      <c r="E2205" s="75" t="str">
        <f t="shared" si="45"/>
        <v>০</v>
      </c>
      <c r="F2205" s="22" t="str">
        <f>"8119457774666"</f>
        <v>8119457774666</v>
      </c>
      <c r="G2205" s="75" t="str">
        <f>"১৩০৩০৬১৮০২৮৪"</f>
        <v>১৩০৩০৬১৮০২৮৪</v>
      </c>
      <c r="H2205" s="75" t="s">
        <v>385</v>
      </c>
      <c r="I2205" s="75" t="s">
        <v>385</v>
      </c>
      <c r="J2205" s="4"/>
    </row>
    <row r="2206" spans="1:10" x14ac:dyDescent="0.25">
      <c r="A2206" s="39">
        <v>2205</v>
      </c>
      <c r="B2206" s="3" t="s">
        <v>1195</v>
      </c>
      <c r="C2206" s="75" t="s">
        <v>516</v>
      </c>
      <c r="D2206" s="75" t="s">
        <v>498</v>
      </c>
      <c r="E2206" s="75" t="str">
        <f t="shared" si="45"/>
        <v>০</v>
      </c>
      <c r="F2206" s="22" t="str">
        <f>"8119457774819"</f>
        <v>8119457774819</v>
      </c>
      <c r="G2206" s="75" t="str">
        <f>"১৩০৩০৬১৮০২৮৩"</f>
        <v>১৩০৩০৬১৮০২৮৩</v>
      </c>
      <c r="H2206" s="75" t="s">
        <v>322</v>
      </c>
      <c r="I2206" s="75" t="s">
        <v>322</v>
      </c>
      <c r="J2206" s="4"/>
    </row>
    <row r="2207" spans="1:10" x14ac:dyDescent="0.25">
      <c r="A2207" s="39">
        <v>2206</v>
      </c>
      <c r="B2207" s="3" t="s">
        <v>743</v>
      </c>
      <c r="C2207" s="75" t="s">
        <v>3090</v>
      </c>
      <c r="D2207" s="75" t="s">
        <v>498</v>
      </c>
      <c r="E2207" s="75" t="str">
        <f t="shared" si="45"/>
        <v>০</v>
      </c>
      <c r="F2207" s="22" t="str">
        <f>"8119457810203"</f>
        <v>8119457810203</v>
      </c>
      <c r="G2207" s="75" t="str">
        <f>"১৩০৩০৬১৮০২৮২"</f>
        <v>১৩০৩০৬১৮০২৮২</v>
      </c>
      <c r="H2207" s="75" t="s">
        <v>362</v>
      </c>
      <c r="I2207" s="75" t="s">
        <v>362</v>
      </c>
      <c r="J2207" s="4"/>
    </row>
    <row r="2208" spans="1:10" x14ac:dyDescent="0.25">
      <c r="A2208" s="39">
        <v>2207</v>
      </c>
      <c r="B2208" s="3" t="s">
        <v>564</v>
      </c>
      <c r="C2208" s="75" t="s">
        <v>1196</v>
      </c>
      <c r="D2208" s="75" t="s">
        <v>498</v>
      </c>
      <c r="E2208" s="75" t="str">
        <f t="shared" si="45"/>
        <v>০</v>
      </c>
      <c r="F2208" s="22" t="str">
        <f>"8119457810170"</f>
        <v>8119457810170</v>
      </c>
      <c r="G2208" s="75" t="str">
        <f>"১৩০৩০৬১৮০২৮১"</f>
        <v>১৩০৩০৬১৮০২৮১</v>
      </c>
      <c r="H2208" s="75" t="s">
        <v>385</v>
      </c>
      <c r="I2208" s="75" t="s">
        <v>385</v>
      </c>
      <c r="J2208" s="4"/>
    </row>
    <row r="2209" spans="1:10" x14ac:dyDescent="0.25">
      <c r="A2209" s="39">
        <v>2208</v>
      </c>
      <c r="B2209" s="3" t="s">
        <v>1197</v>
      </c>
      <c r="C2209" s="75" t="s">
        <v>511</v>
      </c>
      <c r="D2209" s="75" t="s">
        <v>498</v>
      </c>
      <c r="E2209" s="75" t="str">
        <f t="shared" si="45"/>
        <v>০</v>
      </c>
      <c r="F2209" s="22" t="str">
        <f>"8119457810298"</f>
        <v>8119457810298</v>
      </c>
      <c r="G2209" s="75" t="str">
        <f>"১৩০৩০৬১৮০২৮০"</f>
        <v>১৩০৩০৬১৮০২৮০</v>
      </c>
      <c r="H2209" s="75" t="s">
        <v>392</v>
      </c>
      <c r="I2209" s="75" t="s">
        <v>392</v>
      </c>
      <c r="J2209" s="4"/>
    </row>
    <row r="2210" spans="1:10" x14ac:dyDescent="0.25">
      <c r="A2210" s="39">
        <v>2209</v>
      </c>
      <c r="B2210" s="3" t="s">
        <v>1198</v>
      </c>
      <c r="C2210" s="75" t="s">
        <v>1199</v>
      </c>
      <c r="D2210" s="75" t="s">
        <v>498</v>
      </c>
      <c r="E2210" s="75" t="str">
        <f t="shared" si="45"/>
        <v>০</v>
      </c>
      <c r="F2210" s="22" t="str">
        <f>"8119457774393"</f>
        <v>8119457774393</v>
      </c>
      <c r="G2210" s="75" t="str">
        <f>"১৩০৩০৬১৮০২৭৯"</f>
        <v>১৩০৩০৬১৮০২৭৯</v>
      </c>
      <c r="H2210" s="75" t="s">
        <v>316</v>
      </c>
      <c r="I2210" s="75" t="s">
        <v>316</v>
      </c>
      <c r="J2210" s="4"/>
    </row>
    <row r="2211" spans="1:10" x14ac:dyDescent="0.25">
      <c r="A2211" s="39">
        <v>2210</v>
      </c>
      <c r="B2211" s="3" t="s">
        <v>1200</v>
      </c>
      <c r="C2211" s="75" t="s">
        <v>3091</v>
      </c>
      <c r="D2211" s="75" t="s">
        <v>498</v>
      </c>
      <c r="E2211" s="75" t="str">
        <f t="shared" si="45"/>
        <v>০</v>
      </c>
      <c r="F2211" s="22" t="str">
        <f>"8119457810049"</f>
        <v>8119457810049</v>
      </c>
      <c r="G2211" s="75" t="str">
        <f>"১৩০৩০৬১৮০২৭৮"</f>
        <v>১৩০৩০৬১৮০২৭৮</v>
      </c>
      <c r="H2211" s="75" t="s">
        <v>346</v>
      </c>
      <c r="I2211" s="75" t="s">
        <v>346</v>
      </c>
      <c r="J2211" s="4"/>
    </row>
    <row r="2212" spans="1:10" x14ac:dyDescent="0.25">
      <c r="A2212" s="39">
        <v>2211</v>
      </c>
      <c r="B2212" s="3" t="s">
        <v>511</v>
      </c>
      <c r="C2212" s="75" t="s">
        <v>1201</v>
      </c>
      <c r="D2212" s="75" t="s">
        <v>498</v>
      </c>
      <c r="E2212" s="75" t="str">
        <f t="shared" si="45"/>
        <v>০</v>
      </c>
      <c r="F2212" s="22" t="str">
        <f>"8119457810080"</f>
        <v>8119457810080</v>
      </c>
      <c r="G2212" s="75" t="str">
        <f>"১৩০৩০৬১৮০২৭৭"</f>
        <v>১৩০৩০৬১৮০২৭৭</v>
      </c>
      <c r="H2212" s="75" t="s">
        <v>349</v>
      </c>
      <c r="I2212" s="75" t="s">
        <v>349</v>
      </c>
      <c r="J2212" s="4"/>
    </row>
    <row r="2213" spans="1:10" x14ac:dyDescent="0.25">
      <c r="A2213" s="39">
        <v>2212</v>
      </c>
      <c r="B2213" s="3" t="s">
        <v>1202</v>
      </c>
      <c r="C2213" s="75" t="s">
        <v>3092</v>
      </c>
      <c r="D2213" s="75" t="s">
        <v>498</v>
      </c>
      <c r="E2213" s="75" t="str">
        <f t="shared" si="45"/>
        <v>০</v>
      </c>
      <c r="F2213" s="22" t="str">
        <f>"8119457810238"</f>
        <v>8119457810238</v>
      </c>
      <c r="G2213" s="75" t="str">
        <f>"১৩০৩০৬১৮০২৭৬"</f>
        <v>১৩০৩০৬১৮০২৭৬</v>
      </c>
      <c r="H2213" s="75" t="s">
        <v>346</v>
      </c>
      <c r="I2213" s="75" t="s">
        <v>346</v>
      </c>
      <c r="J2213" s="4"/>
    </row>
    <row r="2214" spans="1:10" x14ac:dyDescent="0.25">
      <c r="A2214" s="39">
        <v>2213</v>
      </c>
      <c r="B2214" s="3" t="s">
        <v>1203</v>
      </c>
      <c r="C2214" s="75" t="s">
        <v>1204</v>
      </c>
      <c r="D2214" s="75" t="s">
        <v>498</v>
      </c>
      <c r="E2214" s="75" t="str">
        <f t="shared" si="45"/>
        <v>০</v>
      </c>
      <c r="F2214" s="22" t="str">
        <f>"8119457810205"</f>
        <v>8119457810205</v>
      </c>
      <c r="G2214" s="75" t="str">
        <f>"১৩০৩০৬১৮০২৭৫"</f>
        <v>১৩০৩০৬১৮০২৭৫</v>
      </c>
      <c r="H2214" s="75" t="s">
        <v>322</v>
      </c>
      <c r="I2214" s="75" t="s">
        <v>322</v>
      </c>
      <c r="J2214" s="4"/>
    </row>
    <row r="2215" spans="1:10" x14ac:dyDescent="0.25">
      <c r="A2215" s="39">
        <v>2214</v>
      </c>
      <c r="B2215" s="3" t="s">
        <v>1205</v>
      </c>
      <c r="C2215" s="75" t="s">
        <v>2953</v>
      </c>
      <c r="D2215" s="75" t="s">
        <v>498</v>
      </c>
      <c r="E2215" s="75" t="str">
        <f t="shared" si="45"/>
        <v>০</v>
      </c>
      <c r="F2215" s="22" t="str">
        <f>"8119457800027"</f>
        <v>8119457800027</v>
      </c>
      <c r="G2215" s="75" t="str">
        <f>"১৩০৩০৬১৮০২৭৪"</f>
        <v>১৩০৩০৬১৮০২৭৪</v>
      </c>
      <c r="H2215" s="75" t="s">
        <v>322</v>
      </c>
      <c r="I2215" s="75" t="s">
        <v>322</v>
      </c>
      <c r="J2215" s="4"/>
    </row>
    <row r="2216" spans="1:10" x14ac:dyDescent="0.25">
      <c r="A2216" s="39">
        <v>2215</v>
      </c>
      <c r="B2216" s="3" t="s">
        <v>1206</v>
      </c>
      <c r="C2216" s="75" t="s">
        <v>1205</v>
      </c>
      <c r="D2216" s="75" t="s">
        <v>498</v>
      </c>
      <c r="E2216" s="75" t="str">
        <f t="shared" si="45"/>
        <v>০</v>
      </c>
      <c r="F2216" s="22" t="str">
        <f>"8119457810029"</f>
        <v>8119457810029</v>
      </c>
      <c r="G2216" s="75" t="str">
        <f>"১৩০৩০৬১৮০২৭৩"</f>
        <v>১৩০৩০৬১৮০২৭৩</v>
      </c>
      <c r="H2216" s="75" t="s">
        <v>346</v>
      </c>
      <c r="I2216" s="75" t="s">
        <v>346</v>
      </c>
      <c r="J2216" s="4"/>
    </row>
    <row r="2217" spans="1:10" x14ac:dyDescent="0.25">
      <c r="A2217" s="39">
        <v>2216</v>
      </c>
      <c r="B2217" s="3" t="s">
        <v>479</v>
      </c>
      <c r="C2217" s="75" t="s">
        <v>564</v>
      </c>
      <c r="D2217" s="75" t="s">
        <v>498</v>
      </c>
      <c r="E2217" s="75" t="str">
        <f t="shared" si="45"/>
        <v>০</v>
      </c>
      <c r="F2217" s="22" t="str">
        <f>"8119457810089"</f>
        <v>8119457810089</v>
      </c>
      <c r="G2217" s="75" t="str">
        <f>"১৩০৩০৬১৮০২৭২"</f>
        <v>১৩০৩০৬১৮০২৭২</v>
      </c>
      <c r="H2217" s="75" t="s">
        <v>357</v>
      </c>
      <c r="I2217" s="75" t="s">
        <v>357</v>
      </c>
      <c r="J2217" s="4"/>
    </row>
    <row r="2218" spans="1:10" x14ac:dyDescent="0.25">
      <c r="A2218" s="39">
        <v>2217</v>
      </c>
      <c r="B2218" s="3" t="s">
        <v>834</v>
      </c>
      <c r="C2218" s="75" t="s">
        <v>3093</v>
      </c>
      <c r="D2218" s="75" t="s">
        <v>498</v>
      </c>
      <c r="E2218" s="75" t="str">
        <f t="shared" si="45"/>
        <v>০</v>
      </c>
      <c r="F2218" s="22" t="str">
        <f>"8119457810006"</f>
        <v>8119457810006</v>
      </c>
      <c r="G2218" s="75" t="str">
        <f>"১৩০৩০৬১৮০২৭১"</f>
        <v>১৩০৩০৬১৮০২৭১</v>
      </c>
      <c r="H2218" s="75" t="s">
        <v>322</v>
      </c>
      <c r="I2218" s="75" t="s">
        <v>322</v>
      </c>
      <c r="J2218" s="4"/>
    </row>
    <row r="2219" spans="1:10" x14ac:dyDescent="0.25">
      <c r="A2219" s="39">
        <v>2218</v>
      </c>
      <c r="B2219" s="3" t="s">
        <v>1864</v>
      </c>
      <c r="C2219" s="75" t="s">
        <v>1207</v>
      </c>
      <c r="D2219" s="75" t="s">
        <v>498</v>
      </c>
      <c r="E2219" s="75" t="str">
        <f t="shared" si="45"/>
        <v>০</v>
      </c>
      <c r="F2219" s="22" t="str">
        <f>"8119457710220"</f>
        <v>8119457710220</v>
      </c>
      <c r="G2219" s="75" t="str">
        <f>"১৩০৩০৬১৮০২৭০"</f>
        <v>১৩০৩০৬১৮০২৭০</v>
      </c>
      <c r="H2219" s="75" t="s">
        <v>362</v>
      </c>
      <c r="I2219" s="75" t="s">
        <v>362</v>
      </c>
      <c r="J2219" s="4"/>
    </row>
    <row r="2220" spans="1:10" x14ac:dyDescent="0.25">
      <c r="A2220" s="39">
        <v>2219</v>
      </c>
      <c r="B2220" s="3" t="s">
        <v>1208</v>
      </c>
      <c r="C2220" s="75" t="s">
        <v>3094</v>
      </c>
      <c r="D2220" s="75" t="s">
        <v>498</v>
      </c>
      <c r="E2220" s="75" t="str">
        <f t="shared" si="45"/>
        <v>০</v>
      </c>
      <c r="F2220" s="22" t="str">
        <f>"8119457774715"</f>
        <v>8119457774715</v>
      </c>
      <c r="G2220" s="75" t="str">
        <f>"১৩০৩০৬১৮০২৬৯"</f>
        <v>১৩০৩০৬১৮০২৬৯</v>
      </c>
      <c r="H2220" s="75" t="s">
        <v>364</v>
      </c>
      <c r="I2220" s="75" t="s">
        <v>364</v>
      </c>
      <c r="J2220" s="4"/>
    </row>
    <row r="2221" spans="1:10" x14ac:dyDescent="0.25">
      <c r="A2221" s="39">
        <v>2220</v>
      </c>
      <c r="B2221" s="3" t="s">
        <v>3095</v>
      </c>
      <c r="C2221" s="75" t="s">
        <v>2950</v>
      </c>
      <c r="D2221" s="75" t="s">
        <v>498</v>
      </c>
      <c r="E2221" s="75" t="str">
        <f t="shared" si="45"/>
        <v>০</v>
      </c>
      <c r="F2221" s="22" t="str">
        <f>"8119457774845"</f>
        <v>8119457774845</v>
      </c>
      <c r="G2221" s="75" t="str">
        <f>"১৩০৩০৬১৮০২৬৮"</f>
        <v>১৩০৩০৬১৮০২৬৮</v>
      </c>
      <c r="H2221" s="75" t="s">
        <v>322</v>
      </c>
      <c r="I2221" s="75" t="s">
        <v>322</v>
      </c>
      <c r="J2221" s="4"/>
    </row>
    <row r="2222" spans="1:10" x14ac:dyDescent="0.25">
      <c r="A2222" s="39">
        <v>2221</v>
      </c>
      <c r="B2222" s="3" t="s">
        <v>3096</v>
      </c>
      <c r="C2222" s="75" t="s">
        <v>3087</v>
      </c>
      <c r="D2222" s="75" t="s">
        <v>498</v>
      </c>
      <c r="E2222" s="75" t="str">
        <f t="shared" si="45"/>
        <v>০</v>
      </c>
      <c r="F2222" s="22" t="str">
        <f>"8119457810144"</f>
        <v>8119457810144</v>
      </c>
      <c r="G2222" s="75" t="str">
        <f>"১৩০৩০৬১৮০২৬৭"</f>
        <v>১৩০৩০৬১৮০২৬৭</v>
      </c>
      <c r="H2222" s="75" t="s">
        <v>349</v>
      </c>
      <c r="I2222" s="75" t="s">
        <v>349</v>
      </c>
      <c r="J2222" s="4"/>
    </row>
    <row r="2223" spans="1:10" x14ac:dyDescent="0.25">
      <c r="A2223" s="39">
        <v>2222</v>
      </c>
      <c r="B2223" s="3" t="s">
        <v>1863</v>
      </c>
      <c r="C2223" s="75" t="s">
        <v>1209</v>
      </c>
      <c r="D2223" s="75" t="s">
        <v>498</v>
      </c>
      <c r="E2223" s="75" t="str">
        <f t="shared" si="45"/>
        <v>০</v>
      </c>
      <c r="F2223" s="22" t="str">
        <f>"8119457810197"</f>
        <v>8119457810197</v>
      </c>
      <c r="G2223" s="75" t="str">
        <f>"১৩০৩০৬১৮০২৬৬"</f>
        <v>১৩০৩০৬১৮০২৬৬</v>
      </c>
      <c r="H2223" s="75" t="s">
        <v>371</v>
      </c>
      <c r="I2223" s="75" t="s">
        <v>371</v>
      </c>
      <c r="J2223" s="4"/>
    </row>
    <row r="2224" spans="1:10" x14ac:dyDescent="0.25">
      <c r="A2224" s="39">
        <v>2223</v>
      </c>
      <c r="B2224" s="3" t="s">
        <v>515</v>
      </c>
      <c r="C2224" s="75" t="s">
        <v>1210</v>
      </c>
      <c r="D2224" s="75" t="s">
        <v>498</v>
      </c>
      <c r="E2224" s="75" t="str">
        <f t="shared" si="45"/>
        <v>০</v>
      </c>
      <c r="F2224" s="22" t="str">
        <f>"8119457000292"</f>
        <v>8119457000292</v>
      </c>
      <c r="G2224" s="75" t="str">
        <f>"১৩০৩০৬১৮০২৬৫"</f>
        <v>১৩০৩০৬১৮০২৬৫</v>
      </c>
      <c r="H2224" s="75" t="s">
        <v>323</v>
      </c>
      <c r="I2224" s="75" t="s">
        <v>323</v>
      </c>
      <c r="J2224" s="4"/>
    </row>
    <row r="2225" spans="1:10" x14ac:dyDescent="0.25">
      <c r="A2225" s="39">
        <v>2224</v>
      </c>
      <c r="B2225" s="3" t="s">
        <v>3094</v>
      </c>
      <c r="C2225" s="75" t="s">
        <v>2950</v>
      </c>
      <c r="D2225" s="75" t="s">
        <v>498</v>
      </c>
      <c r="E2225" s="75" t="str">
        <f t="shared" si="45"/>
        <v>০</v>
      </c>
      <c r="F2225" s="22" t="str">
        <f>"8119457700051"</f>
        <v>8119457700051</v>
      </c>
      <c r="G2225" s="75" t="str">
        <f>"১৩০৩০৬১৮০২৬৪"</f>
        <v>১৩০৩০৬১৮০২৬৪</v>
      </c>
      <c r="H2225" s="75" t="s">
        <v>376</v>
      </c>
      <c r="I2225" s="75" t="s">
        <v>376</v>
      </c>
      <c r="J2225" s="4"/>
    </row>
    <row r="2226" spans="1:10" x14ac:dyDescent="0.25">
      <c r="A2226" s="39">
        <v>2225</v>
      </c>
      <c r="B2226" s="3" t="s">
        <v>1211</v>
      </c>
      <c r="C2226" s="75" t="s">
        <v>1199</v>
      </c>
      <c r="D2226" s="75" t="s">
        <v>498</v>
      </c>
      <c r="E2226" s="75" t="str">
        <f t="shared" si="45"/>
        <v>০</v>
      </c>
      <c r="F2226" s="22" t="str">
        <f>"8119457774395"</f>
        <v>8119457774395</v>
      </c>
      <c r="G2226" s="75" t="str">
        <f>"১৩০৩০৬১৮০২৬৩"</f>
        <v>১৩০৩০৬১৮০২৬৩</v>
      </c>
      <c r="H2226" s="75" t="s">
        <v>371</v>
      </c>
      <c r="I2226" s="75" t="s">
        <v>371</v>
      </c>
      <c r="J2226" s="4"/>
    </row>
    <row r="2227" spans="1:10" x14ac:dyDescent="0.25">
      <c r="A2227" s="39">
        <v>2226</v>
      </c>
      <c r="B2227" s="3" t="s">
        <v>884</v>
      </c>
      <c r="C2227" s="75" t="s">
        <v>1212</v>
      </c>
      <c r="D2227" s="75" t="s">
        <v>498</v>
      </c>
      <c r="E2227" s="75" t="str">
        <f t="shared" si="45"/>
        <v>০</v>
      </c>
      <c r="F2227" s="22" t="str">
        <f>"8119457810992"</f>
        <v>8119457810992</v>
      </c>
      <c r="G2227" s="75" t="str">
        <f>"১৩০৩০৬১৮০০৬২"</f>
        <v>১৩০৩০৬১৮০০৬২</v>
      </c>
      <c r="H2227" s="75" t="s">
        <v>362</v>
      </c>
      <c r="I2227" s="75" t="s">
        <v>362</v>
      </c>
      <c r="J2227" s="4"/>
    </row>
    <row r="2228" spans="1:10" x14ac:dyDescent="0.25">
      <c r="A2228" s="39">
        <v>2227</v>
      </c>
      <c r="B2228" s="3" t="s">
        <v>1213</v>
      </c>
      <c r="C2228" s="75" t="s">
        <v>1214</v>
      </c>
      <c r="D2228" s="75" t="s">
        <v>498</v>
      </c>
      <c r="E2228" s="75" t="str">
        <f t="shared" si="45"/>
        <v>০</v>
      </c>
      <c r="F2228" s="22" t="str">
        <f>"8119457774722"</f>
        <v>8119457774722</v>
      </c>
      <c r="G2228" s="75" t="str">
        <f>"১৩০৩০৬১৮০২৬১"</f>
        <v>১৩০৩০৬১৮০২৬১</v>
      </c>
      <c r="H2228" s="75" t="s">
        <v>376</v>
      </c>
      <c r="I2228" s="75" t="s">
        <v>376</v>
      </c>
      <c r="J2228" s="4"/>
    </row>
    <row r="2229" spans="1:10" x14ac:dyDescent="0.25">
      <c r="A2229" s="39">
        <v>2228</v>
      </c>
      <c r="B2229" s="3" t="s">
        <v>687</v>
      </c>
      <c r="C2229" s="75" t="s">
        <v>1130</v>
      </c>
      <c r="D2229" s="75" t="s">
        <v>498</v>
      </c>
      <c r="E2229" s="75" t="str">
        <f t="shared" si="45"/>
        <v>০</v>
      </c>
      <c r="F2229" s="22" t="str">
        <f>"8119457810236"</f>
        <v>8119457810236</v>
      </c>
      <c r="G2229" s="75" t="str">
        <f>"১৩০৩০৬১৮০২৬০"</f>
        <v>১৩০৩০৬১৮০২৬০</v>
      </c>
      <c r="H2229" s="75" t="s">
        <v>385</v>
      </c>
      <c r="I2229" s="75" t="s">
        <v>385</v>
      </c>
      <c r="J2229" s="4"/>
    </row>
    <row r="2230" spans="1:10" x14ac:dyDescent="0.25">
      <c r="A2230" s="39">
        <v>2229</v>
      </c>
      <c r="B2230" s="3" t="s">
        <v>1215</v>
      </c>
      <c r="C2230" s="75" t="s">
        <v>511</v>
      </c>
      <c r="D2230" s="75" t="s">
        <v>498</v>
      </c>
      <c r="E2230" s="75" t="str">
        <f t="shared" si="45"/>
        <v>০</v>
      </c>
      <c r="F2230" s="22" t="str">
        <f>"8119457810296"</f>
        <v>8119457810296</v>
      </c>
      <c r="G2230" s="75" t="str">
        <f>"১৩০৩০৬১৮০২৫৯"</f>
        <v>১৩০৩০৬১৮০২৫৯</v>
      </c>
      <c r="H2230" s="75" t="s">
        <v>371</v>
      </c>
      <c r="I2230" s="75" t="s">
        <v>371</v>
      </c>
      <c r="J2230" s="4"/>
    </row>
    <row r="2231" spans="1:10" x14ac:dyDescent="0.25">
      <c r="A2231" s="39">
        <v>2230</v>
      </c>
      <c r="B2231" s="3" t="s">
        <v>496</v>
      </c>
      <c r="C2231" s="75" t="s">
        <v>1216</v>
      </c>
      <c r="D2231" s="75" t="s">
        <v>498</v>
      </c>
      <c r="E2231" s="75" t="str">
        <f t="shared" si="45"/>
        <v>০</v>
      </c>
      <c r="F2231" s="22" t="str">
        <f>"8119457810133"</f>
        <v>8119457810133</v>
      </c>
      <c r="G2231" s="75" t="str">
        <f>"১৩০৩০৬১৮০২৫৮"</f>
        <v>১৩০৩০৬১৮০২৫৮</v>
      </c>
      <c r="H2231" s="75" t="s">
        <v>371</v>
      </c>
      <c r="I2231" s="75" t="s">
        <v>371</v>
      </c>
      <c r="J2231" s="4"/>
    </row>
    <row r="2232" spans="1:10" x14ac:dyDescent="0.25">
      <c r="A2232" s="39">
        <v>2231</v>
      </c>
      <c r="B2232" s="3" t="s">
        <v>733</v>
      </c>
      <c r="C2232" s="75" t="s">
        <v>1217</v>
      </c>
      <c r="D2232" s="75" t="s">
        <v>498</v>
      </c>
      <c r="E2232" s="75" t="str">
        <f t="shared" si="45"/>
        <v>০</v>
      </c>
      <c r="F2232" s="22" t="str">
        <f>"8119457810193"</f>
        <v>8119457810193</v>
      </c>
      <c r="G2232" s="75" t="str">
        <f>"১৩০৩০৬১৮০২৫৭"</f>
        <v>১৩০৩০৬১৮০২৫৭</v>
      </c>
      <c r="H2232" s="75" t="s">
        <v>346</v>
      </c>
      <c r="I2232" s="75" t="s">
        <v>346</v>
      </c>
      <c r="J2232" s="4"/>
    </row>
    <row r="2233" spans="1:10" x14ac:dyDescent="0.25">
      <c r="A2233" s="39">
        <v>2232</v>
      </c>
      <c r="B2233" s="3" t="s">
        <v>1218</v>
      </c>
      <c r="C2233" s="75" t="s">
        <v>1219</v>
      </c>
      <c r="D2233" s="75" t="s">
        <v>498</v>
      </c>
      <c r="E2233" s="75" t="str">
        <f t="shared" si="45"/>
        <v>০</v>
      </c>
      <c r="F2233" s="22" t="str">
        <f>"8119457810189"</f>
        <v>8119457810189</v>
      </c>
      <c r="G2233" s="75" t="str">
        <f>"১৩০৩০৬১৮০২৫৬"</f>
        <v>১৩০৩০৬১৮০২৫৬</v>
      </c>
      <c r="H2233" s="75" t="s">
        <v>322</v>
      </c>
      <c r="I2233" s="75" t="s">
        <v>322</v>
      </c>
      <c r="J2233" s="4"/>
    </row>
    <row r="2234" spans="1:10" x14ac:dyDescent="0.25">
      <c r="A2234" s="39">
        <v>2233</v>
      </c>
      <c r="B2234" s="3" t="s">
        <v>1220</v>
      </c>
      <c r="C2234" s="75" t="s">
        <v>1221</v>
      </c>
      <c r="D2234" s="75" t="s">
        <v>498</v>
      </c>
      <c r="E2234" s="75" t="str">
        <f t="shared" si="45"/>
        <v>০</v>
      </c>
      <c r="F2234" s="22" t="str">
        <f>"8119457810068"</f>
        <v>8119457810068</v>
      </c>
      <c r="G2234" s="75" t="str">
        <f>"১৩০৩০৬১৮০২৫৫"</f>
        <v>১৩০৩০৬১৮০২৫৫</v>
      </c>
      <c r="H2234" s="75" t="s">
        <v>322</v>
      </c>
      <c r="I2234" s="75" t="s">
        <v>322</v>
      </c>
      <c r="J2234" s="4"/>
    </row>
    <row r="2235" spans="1:10" x14ac:dyDescent="0.25">
      <c r="A2235" s="39">
        <v>2234</v>
      </c>
      <c r="B2235" s="3" t="s">
        <v>1222</v>
      </c>
      <c r="C2235" s="75" t="s">
        <v>1223</v>
      </c>
      <c r="D2235" s="75" t="s">
        <v>498</v>
      </c>
      <c r="E2235" s="75" t="str">
        <f t="shared" si="45"/>
        <v>০</v>
      </c>
      <c r="F2235" s="22" t="str">
        <f>"8119457810040"</f>
        <v>8119457810040</v>
      </c>
      <c r="G2235" s="75" t="str">
        <f>"১৩০৩০৬১৮০২৫৪"</f>
        <v>১৩০৩০৬১৮০২৫৪</v>
      </c>
      <c r="H2235" s="75" t="s">
        <v>376</v>
      </c>
      <c r="I2235" s="75" t="s">
        <v>376</v>
      </c>
      <c r="J2235" s="4"/>
    </row>
    <row r="2236" spans="1:10" x14ac:dyDescent="0.25">
      <c r="A2236" s="39">
        <v>2235</v>
      </c>
      <c r="B2236" s="3" t="s">
        <v>1224</v>
      </c>
      <c r="C2236" s="75" t="s">
        <v>1199</v>
      </c>
      <c r="D2236" s="75" t="s">
        <v>498</v>
      </c>
      <c r="E2236" s="75" t="str">
        <f t="shared" si="45"/>
        <v>০</v>
      </c>
      <c r="F2236" s="22" t="str">
        <f>"8119457774391"</f>
        <v>8119457774391</v>
      </c>
      <c r="G2236" s="75" t="str">
        <f>"১৩০৩০৬১৮০২৫৩"</f>
        <v>১৩০৩০৬১৮০২৫৩</v>
      </c>
      <c r="H2236" s="75" t="s">
        <v>371</v>
      </c>
      <c r="I2236" s="75" t="s">
        <v>371</v>
      </c>
      <c r="J2236" s="4"/>
    </row>
    <row r="2237" spans="1:10" x14ac:dyDescent="0.25">
      <c r="A2237" s="39">
        <v>2236</v>
      </c>
      <c r="B2237" s="3" t="s">
        <v>1225</v>
      </c>
      <c r="C2237" s="75" t="s">
        <v>1226</v>
      </c>
      <c r="D2237" s="75" t="s">
        <v>498</v>
      </c>
      <c r="E2237" s="75" t="str">
        <f t="shared" si="45"/>
        <v>০</v>
      </c>
      <c r="F2237" s="22" t="str">
        <f>"8119457774739"</f>
        <v>8119457774739</v>
      </c>
      <c r="G2237" s="75" t="str">
        <f>"১৩০৩০৬১৮০২৫২"</f>
        <v>১৩০৩০৬১৮০২৫২</v>
      </c>
      <c r="H2237" s="75" t="s">
        <v>392</v>
      </c>
      <c r="I2237" s="75" t="s">
        <v>392</v>
      </c>
      <c r="J2237" s="4"/>
    </row>
    <row r="2238" spans="1:10" x14ac:dyDescent="0.25">
      <c r="A2238" s="39">
        <v>2237</v>
      </c>
      <c r="B2238" s="3" t="s">
        <v>1227</v>
      </c>
      <c r="C2238" s="75" t="s">
        <v>1223</v>
      </c>
      <c r="D2238" s="75" t="s">
        <v>498</v>
      </c>
      <c r="E2238" s="75" t="str">
        <f t="shared" si="45"/>
        <v>০</v>
      </c>
      <c r="F2238" s="22" t="str">
        <f>"8119457810049"</f>
        <v>8119457810049</v>
      </c>
      <c r="G2238" s="75" t="str">
        <f>"১৩০৩০৬১৮০২৫১"</f>
        <v>১৩০৩০৬১৮০২৫১</v>
      </c>
      <c r="H2238" s="75" t="s">
        <v>393</v>
      </c>
      <c r="I2238" s="75" t="s">
        <v>393</v>
      </c>
      <c r="J2238" s="4"/>
    </row>
    <row r="2239" spans="1:10" x14ac:dyDescent="0.25">
      <c r="A2239" s="39">
        <v>2238</v>
      </c>
      <c r="B2239" s="3" t="s">
        <v>3097</v>
      </c>
      <c r="C2239" s="75" t="s">
        <v>1228</v>
      </c>
      <c r="D2239" s="75" t="s">
        <v>375</v>
      </c>
      <c r="E2239" s="75" t="str">
        <f t="shared" si="45"/>
        <v>০</v>
      </c>
      <c r="F2239" s="22" t="str">
        <f>"8119457773454"</f>
        <v>8119457773454</v>
      </c>
      <c r="G2239" s="75" t="str">
        <f>"১৩০৩০৬১৮০১১৮"</f>
        <v>১৩০৩০৬১৮০১১৮</v>
      </c>
      <c r="H2239" s="75" t="s">
        <v>362</v>
      </c>
      <c r="I2239" s="75" t="s">
        <v>362</v>
      </c>
      <c r="J2239" s="4"/>
    </row>
    <row r="2240" spans="1:10" x14ac:dyDescent="0.25">
      <c r="A2240" s="39">
        <v>2239</v>
      </c>
      <c r="B2240" s="3" t="s">
        <v>1229</v>
      </c>
      <c r="C2240" s="75" t="s">
        <v>1230</v>
      </c>
      <c r="D2240" s="75" t="s">
        <v>375</v>
      </c>
      <c r="E2240" s="75" t="str">
        <f>"০১৭৩৫-০৬৯০৪০"</f>
        <v>০১৭৩৫-০৬৯০৪০</v>
      </c>
      <c r="F2240" s="22" t="str">
        <f>"8119457773382"</f>
        <v>8119457773382</v>
      </c>
      <c r="G2240" s="75" t="str">
        <f>"১৩০৩০৬১৮০১১৬"</f>
        <v>১৩০৩০৬১৮০১১৬</v>
      </c>
      <c r="H2240" s="75" t="s">
        <v>322</v>
      </c>
      <c r="I2240" s="75" t="s">
        <v>322</v>
      </c>
      <c r="J2240" s="4"/>
    </row>
    <row r="2241" spans="1:10" x14ac:dyDescent="0.25">
      <c r="A2241" s="39">
        <v>2240</v>
      </c>
      <c r="B2241" s="3" t="s">
        <v>3098</v>
      </c>
      <c r="C2241" s="75" t="s">
        <v>1231</v>
      </c>
      <c r="D2241" s="75" t="s">
        <v>375</v>
      </c>
      <c r="E2241" s="75" t="str">
        <f>"০১৭২১-৭০৩৬৫৮"</f>
        <v>০১৭২১-৭০৩৬৫৮</v>
      </c>
      <c r="F2241" s="22" t="str">
        <f>"8119457773455"</f>
        <v>8119457773455</v>
      </c>
      <c r="G2241" s="75" t="str">
        <f>"১৩০৩০৬১৮০১১৫"</f>
        <v>১৩০৩০৬১৮০১১৫</v>
      </c>
      <c r="H2241" s="75" t="s">
        <v>392</v>
      </c>
      <c r="I2241" s="75" t="s">
        <v>392</v>
      </c>
      <c r="J2241" s="4"/>
    </row>
    <row r="2242" spans="1:10" x14ac:dyDescent="0.25">
      <c r="A2242" s="39">
        <v>2241</v>
      </c>
      <c r="B2242" s="3" t="s">
        <v>1542</v>
      </c>
      <c r="C2242" s="75" t="s">
        <v>576</v>
      </c>
      <c r="D2242" s="75" t="s">
        <v>375</v>
      </c>
      <c r="E2242" s="75" t="str">
        <f>"০১৭৩১-৯৩১৫৮২"</f>
        <v>০১৭৩১-৯৩১৫৮২</v>
      </c>
      <c r="F2242" s="22" t="str">
        <f>"8119457773997"</f>
        <v>8119457773997</v>
      </c>
      <c r="G2242" s="75" t="str">
        <f>"১৩০৩০৬১৮০১১৪"</f>
        <v>১৩০৩০৬১৮০১১৪</v>
      </c>
      <c r="H2242" s="75" t="s">
        <v>321</v>
      </c>
      <c r="I2242" s="75" t="s">
        <v>321</v>
      </c>
      <c r="J2242" s="4"/>
    </row>
    <row r="2243" spans="1:10" x14ac:dyDescent="0.25">
      <c r="A2243" s="39">
        <v>2242</v>
      </c>
      <c r="B2243" s="3" t="s">
        <v>3099</v>
      </c>
      <c r="C2243" s="75" t="s">
        <v>3100</v>
      </c>
      <c r="D2243" s="75" t="s">
        <v>375</v>
      </c>
      <c r="E2243" s="75" t="str">
        <f>"০১৭৬১-৫২৭৬৩৫"</f>
        <v>০১৭৬১-৫২৭৬৩৫</v>
      </c>
      <c r="F2243" s="22" t="str">
        <f>"8119457774048"</f>
        <v>8119457774048</v>
      </c>
      <c r="G2243" s="75" t="str">
        <f>"১৩০৩০৬১৮০১১৩"</f>
        <v>১৩০৩০৬১৮০১১৩</v>
      </c>
      <c r="H2243" s="75" t="s">
        <v>371</v>
      </c>
      <c r="I2243" s="75" t="s">
        <v>371</v>
      </c>
      <c r="J2243" s="4"/>
    </row>
    <row r="2244" spans="1:10" x14ac:dyDescent="0.25">
      <c r="A2244" s="39">
        <v>2243</v>
      </c>
      <c r="B2244" s="3" t="s">
        <v>3101</v>
      </c>
      <c r="C2244" s="75" t="s">
        <v>1232</v>
      </c>
      <c r="D2244" s="75" t="s">
        <v>375</v>
      </c>
      <c r="E2244" s="75" t="str">
        <f>"০১৭৮৮-২০৮৮০৩"</f>
        <v>০১৭৮৮-২০৮৮০৩</v>
      </c>
      <c r="F2244" s="22" t="str">
        <f>"8119457726961"</f>
        <v>8119457726961</v>
      </c>
      <c r="G2244" s="75" t="str">
        <f>"১৩০৩০৬১৮০১১২"</f>
        <v>১৩০৩০৬১৮০১১২</v>
      </c>
      <c r="H2244" s="75" t="s">
        <v>323</v>
      </c>
      <c r="I2244" s="75" t="s">
        <v>323</v>
      </c>
      <c r="J2244" s="4"/>
    </row>
    <row r="2245" spans="1:10" x14ac:dyDescent="0.25">
      <c r="A2245" s="39">
        <v>2244</v>
      </c>
      <c r="B2245" s="3" t="s">
        <v>762</v>
      </c>
      <c r="C2245" s="75" t="s">
        <v>1233</v>
      </c>
      <c r="D2245" s="75" t="s">
        <v>375</v>
      </c>
      <c r="E2245" s="75" t="str">
        <f t="shared" ref="E2245:E2308" si="46">"০"</f>
        <v>০</v>
      </c>
      <c r="F2245" s="22" t="str">
        <f>"8119457773673"</f>
        <v>8119457773673</v>
      </c>
      <c r="G2245" s="75" t="str">
        <f>"১৩০৩০৬১৮০১১১"</f>
        <v>১৩০৩০৬১৮০১১১</v>
      </c>
      <c r="H2245" s="75" t="s">
        <v>323</v>
      </c>
      <c r="I2245" s="75" t="s">
        <v>323</v>
      </c>
      <c r="J2245" s="4"/>
    </row>
    <row r="2246" spans="1:10" x14ac:dyDescent="0.25">
      <c r="A2246" s="39">
        <v>2245</v>
      </c>
      <c r="B2246" s="3" t="s">
        <v>3102</v>
      </c>
      <c r="C2246" s="75" t="s">
        <v>1234</v>
      </c>
      <c r="D2246" s="75" t="s">
        <v>375</v>
      </c>
      <c r="E2246" s="75" t="str">
        <f t="shared" si="46"/>
        <v>০</v>
      </c>
      <c r="F2246" s="22" t="str">
        <f>"8119457773992"</f>
        <v>8119457773992</v>
      </c>
      <c r="G2246" s="75" t="str">
        <f>"১৩০৩০৬১৮০১১০"</f>
        <v>১৩০৩০৬১৮০১১০</v>
      </c>
      <c r="H2246" s="75" t="s">
        <v>404</v>
      </c>
      <c r="I2246" s="75" t="s">
        <v>404</v>
      </c>
      <c r="J2246" s="4"/>
    </row>
    <row r="2247" spans="1:10" x14ac:dyDescent="0.25">
      <c r="A2247" s="39">
        <v>2246</v>
      </c>
      <c r="B2247" s="3" t="s">
        <v>576</v>
      </c>
      <c r="C2247" s="75" t="s">
        <v>1235</v>
      </c>
      <c r="D2247" s="75" t="s">
        <v>375</v>
      </c>
      <c r="E2247" s="75" t="str">
        <f t="shared" si="46"/>
        <v>০</v>
      </c>
      <c r="F2247" s="22" t="str">
        <f>"8119457773371"</f>
        <v>8119457773371</v>
      </c>
      <c r="G2247" s="75" t="str">
        <f>"১৩০৩০৬১৮০১০৯"</f>
        <v>১৩০৩০৬১৮০১০৯</v>
      </c>
      <c r="H2247" s="75" t="s">
        <v>362</v>
      </c>
      <c r="I2247" s="75" t="s">
        <v>362</v>
      </c>
      <c r="J2247" s="4"/>
    </row>
    <row r="2248" spans="1:10" x14ac:dyDescent="0.25">
      <c r="A2248" s="39">
        <v>2247</v>
      </c>
      <c r="B2248" s="3" t="s">
        <v>1236</v>
      </c>
      <c r="C2248" s="75" t="s">
        <v>1235</v>
      </c>
      <c r="D2248" s="75" t="s">
        <v>375</v>
      </c>
      <c r="E2248" s="75" t="str">
        <f t="shared" si="46"/>
        <v>০</v>
      </c>
      <c r="F2248" s="22" t="str">
        <f>"8119457000273"</f>
        <v>8119457000273</v>
      </c>
      <c r="G2248" s="75" t="str">
        <f>"১৩০৩০৬১৮০১০৮"</f>
        <v>১৩০৩০৬১৮০১০৮</v>
      </c>
      <c r="H2248" s="75" t="s">
        <v>407</v>
      </c>
      <c r="I2248" s="75" t="s">
        <v>407</v>
      </c>
      <c r="J2248" s="4"/>
    </row>
    <row r="2249" spans="1:10" x14ac:dyDescent="0.25">
      <c r="A2249" s="39">
        <v>2248</v>
      </c>
      <c r="B2249" s="3" t="s">
        <v>3103</v>
      </c>
      <c r="C2249" s="75" t="s">
        <v>1235</v>
      </c>
      <c r="D2249" s="75" t="s">
        <v>375</v>
      </c>
      <c r="E2249" s="75" t="str">
        <f t="shared" si="46"/>
        <v>০</v>
      </c>
      <c r="F2249" s="22" t="str">
        <f>"8119457714596"</f>
        <v>8119457714596</v>
      </c>
      <c r="G2249" s="75" t="str">
        <f>"১৩০৩০৬১৮০১০৭"</f>
        <v>১৩০৩০৬১৮০১০৭</v>
      </c>
      <c r="H2249" s="75" t="s">
        <v>371</v>
      </c>
      <c r="I2249" s="75" t="s">
        <v>371</v>
      </c>
      <c r="J2249" s="4"/>
    </row>
    <row r="2250" spans="1:10" x14ac:dyDescent="0.25">
      <c r="A2250" s="39">
        <v>2249</v>
      </c>
      <c r="B2250" s="3" t="s">
        <v>623</v>
      </c>
      <c r="C2250" s="75" t="s">
        <v>1237</v>
      </c>
      <c r="D2250" s="75" t="s">
        <v>375</v>
      </c>
      <c r="E2250" s="75" t="str">
        <f t="shared" si="46"/>
        <v>০</v>
      </c>
      <c r="F2250" s="22" t="str">
        <f>"8119457773373"</f>
        <v>8119457773373</v>
      </c>
      <c r="G2250" s="75" t="str">
        <f>"১৩০৩০৬১৮০১০৬"</f>
        <v>১৩০৩০৬১৮০১০৬</v>
      </c>
      <c r="H2250" s="75" t="s">
        <v>376</v>
      </c>
      <c r="I2250" s="75" t="s">
        <v>376</v>
      </c>
      <c r="J2250" s="4"/>
    </row>
    <row r="2251" spans="1:10" x14ac:dyDescent="0.25">
      <c r="A2251" s="39">
        <v>2250</v>
      </c>
      <c r="B2251" s="3" t="s">
        <v>1238</v>
      </c>
      <c r="C2251" s="75" t="s">
        <v>2953</v>
      </c>
      <c r="D2251" s="75" t="s">
        <v>375</v>
      </c>
      <c r="E2251" s="75" t="str">
        <f t="shared" si="46"/>
        <v>০</v>
      </c>
      <c r="F2251" s="22" t="str">
        <f>"8119457"</f>
        <v>8119457</v>
      </c>
      <c r="G2251" s="75" t="str">
        <f>"১৩০৩০৬১৮০১০৫"</f>
        <v>১৩০৩০৬১৮০১০৫</v>
      </c>
      <c r="H2251" s="75" t="s">
        <v>322</v>
      </c>
      <c r="I2251" s="75" t="s">
        <v>322</v>
      </c>
      <c r="J2251" s="4"/>
    </row>
    <row r="2252" spans="1:10" x14ac:dyDescent="0.25">
      <c r="A2252" s="39">
        <v>2251</v>
      </c>
      <c r="B2252" s="3" t="s">
        <v>1239</v>
      </c>
      <c r="C2252" s="75" t="s">
        <v>1240</v>
      </c>
      <c r="D2252" s="75" t="s">
        <v>375</v>
      </c>
      <c r="E2252" s="75" t="str">
        <f t="shared" si="46"/>
        <v>০</v>
      </c>
      <c r="F2252" s="22" t="str">
        <f>"8119457773587"</f>
        <v>8119457773587</v>
      </c>
      <c r="G2252" s="75" t="str">
        <f>"১৩০৩০৬১৮০১০৪"</f>
        <v>১৩০৩০৬১৮০১০৪</v>
      </c>
      <c r="H2252" s="75" t="s">
        <v>371</v>
      </c>
      <c r="I2252" s="75" t="s">
        <v>371</v>
      </c>
      <c r="J2252" s="4"/>
    </row>
    <row r="2253" spans="1:10" x14ac:dyDescent="0.25">
      <c r="A2253" s="39">
        <v>2252</v>
      </c>
      <c r="B2253" s="3" t="s">
        <v>1241</v>
      </c>
      <c r="C2253" s="75" t="s">
        <v>1242</v>
      </c>
      <c r="D2253" s="75" t="s">
        <v>375</v>
      </c>
      <c r="E2253" s="75" t="str">
        <f t="shared" si="46"/>
        <v>০</v>
      </c>
      <c r="F2253" s="22" t="str">
        <f>"8119457774055"</f>
        <v>8119457774055</v>
      </c>
      <c r="G2253" s="75" t="str">
        <f>"১৩০৩০৬১৮০১০৩"</f>
        <v>১৩০৩০৬১৮০১০৩</v>
      </c>
      <c r="H2253" s="75" t="s">
        <v>362</v>
      </c>
      <c r="I2253" s="75" t="s">
        <v>362</v>
      </c>
      <c r="J2253" s="4"/>
    </row>
    <row r="2254" spans="1:10" x14ac:dyDescent="0.25">
      <c r="A2254" s="39">
        <v>2253</v>
      </c>
      <c r="B2254" s="3" t="s">
        <v>1243</v>
      </c>
      <c r="C2254" s="75" t="s">
        <v>1244</v>
      </c>
      <c r="D2254" s="75" t="s">
        <v>375</v>
      </c>
      <c r="E2254" s="75" t="str">
        <f t="shared" si="46"/>
        <v>০</v>
      </c>
      <c r="F2254" s="22" t="str">
        <f>"8119457773823"</f>
        <v>8119457773823</v>
      </c>
      <c r="G2254" s="75" t="str">
        <f>"১৩০৩০৬১৮০১০২"</f>
        <v>১৩০৩০৬১৮০১০২</v>
      </c>
      <c r="H2254" s="75" t="s">
        <v>371</v>
      </c>
      <c r="I2254" s="75" t="s">
        <v>371</v>
      </c>
      <c r="J2254" s="4"/>
    </row>
    <row r="2255" spans="1:10" x14ac:dyDescent="0.25">
      <c r="A2255" s="39">
        <v>2254</v>
      </c>
      <c r="B2255" s="3" t="s">
        <v>728</v>
      </c>
      <c r="C2255" s="75" t="s">
        <v>1245</v>
      </c>
      <c r="D2255" s="75" t="s">
        <v>375</v>
      </c>
      <c r="E2255" s="75" t="str">
        <f t="shared" si="46"/>
        <v>০</v>
      </c>
      <c r="F2255" s="22" t="str">
        <f>"8119457726919"</f>
        <v>8119457726919</v>
      </c>
      <c r="G2255" s="75" t="str">
        <f>"১৩০৩০৬১৮০১০১"</f>
        <v>১৩০৩০৬১৮০১০১</v>
      </c>
      <c r="H2255" s="75" t="s">
        <v>346</v>
      </c>
      <c r="I2255" s="75" t="s">
        <v>346</v>
      </c>
      <c r="J2255" s="4"/>
    </row>
    <row r="2256" spans="1:10" x14ac:dyDescent="0.25">
      <c r="A2256" s="39">
        <v>2255</v>
      </c>
      <c r="B2256" s="3" t="s">
        <v>1123</v>
      </c>
      <c r="C2256" s="75" t="s">
        <v>745</v>
      </c>
      <c r="D2256" s="75" t="s">
        <v>375</v>
      </c>
      <c r="E2256" s="75" t="str">
        <f t="shared" si="46"/>
        <v>০</v>
      </c>
      <c r="F2256" s="22" t="str">
        <f>"8119457773410"</f>
        <v>8119457773410</v>
      </c>
      <c r="G2256" s="75" t="str">
        <f>"১৩০৩০৬১৮০১০০"</f>
        <v>১৩০৩০৬১৮০১০০</v>
      </c>
      <c r="H2256" s="75" t="s">
        <v>371</v>
      </c>
      <c r="I2256" s="75" t="s">
        <v>371</v>
      </c>
      <c r="J2256" s="4"/>
    </row>
    <row r="2257" spans="1:10" x14ac:dyDescent="0.25">
      <c r="A2257" s="39">
        <v>2256</v>
      </c>
      <c r="B2257" s="3" t="s">
        <v>380</v>
      </c>
      <c r="C2257" s="75" t="s">
        <v>1246</v>
      </c>
      <c r="D2257" s="75" t="s">
        <v>375</v>
      </c>
      <c r="E2257" s="75" t="str">
        <f t="shared" si="46"/>
        <v>০</v>
      </c>
      <c r="F2257" s="22" t="str">
        <f>"8119457726973"</f>
        <v>8119457726973</v>
      </c>
      <c r="G2257" s="75" t="str">
        <f>"১৩০৩০৬১৮০০৯৯"</f>
        <v>১৩০৩০৬১৮০০৯৯</v>
      </c>
      <c r="H2257" s="75" t="s">
        <v>323</v>
      </c>
      <c r="I2257" s="75" t="s">
        <v>323</v>
      </c>
      <c r="J2257" s="4"/>
    </row>
    <row r="2258" spans="1:10" x14ac:dyDescent="0.25">
      <c r="A2258" s="39">
        <v>2257</v>
      </c>
      <c r="B2258" s="3" t="s">
        <v>2953</v>
      </c>
      <c r="C2258" s="75" t="s">
        <v>1247</v>
      </c>
      <c r="D2258" s="75" t="s">
        <v>375</v>
      </c>
      <c r="E2258" s="75" t="str">
        <f t="shared" si="46"/>
        <v>০</v>
      </c>
      <c r="F2258" s="22" t="str">
        <f>"8119457774096"</f>
        <v>8119457774096</v>
      </c>
      <c r="G2258" s="75" t="str">
        <f>"১৩০৩০৬১৮০০৯৮"</f>
        <v>১৩০৩০৬১৮০০৯৮</v>
      </c>
      <c r="H2258" s="75" t="s">
        <v>322</v>
      </c>
      <c r="I2258" s="75" t="s">
        <v>322</v>
      </c>
      <c r="J2258" s="4"/>
    </row>
    <row r="2259" spans="1:10" x14ac:dyDescent="0.25">
      <c r="A2259" s="39">
        <v>2258</v>
      </c>
      <c r="B2259" s="3" t="s">
        <v>743</v>
      </c>
      <c r="C2259" s="75" t="s">
        <v>1248</v>
      </c>
      <c r="D2259" s="75" t="s">
        <v>375</v>
      </c>
      <c r="E2259" s="75" t="str">
        <f t="shared" si="46"/>
        <v>০</v>
      </c>
      <c r="F2259" s="22" t="str">
        <f>"8119457773135"</f>
        <v>8119457773135</v>
      </c>
      <c r="G2259" s="75" t="str">
        <f>"১৩০৩০৬১৮০০৯৭"</f>
        <v>১৩০৩০৬১৮০০৯৭</v>
      </c>
      <c r="H2259" s="75" t="s">
        <v>357</v>
      </c>
      <c r="I2259" s="75" t="s">
        <v>357</v>
      </c>
      <c r="J2259" s="4"/>
    </row>
    <row r="2260" spans="1:10" x14ac:dyDescent="0.25">
      <c r="A2260" s="39">
        <v>2259</v>
      </c>
      <c r="B2260" s="3" t="s">
        <v>1249</v>
      </c>
      <c r="C2260" s="75" t="s">
        <v>1250</v>
      </c>
      <c r="D2260" s="75" t="s">
        <v>375</v>
      </c>
      <c r="E2260" s="75" t="str">
        <f t="shared" si="46"/>
        <v>০</v>
      </c>
      <c r="F2260" s="22" t="str">
        <f>"8119457773948"</f>
        <v>8119457773948</v>
      </c>
      <c r="G2260" s="75" t="str">
        <f>"১৩০৩০৬১৮০০৯৬"</f>
        <v>১৩০৩০৬১৮০০৯৬</v>
      </c>
      <c r="H2260" s="75" t="s">
        <v>323</v>
      </c>
      <c r="I2260" s="75" t="s">
        <v>323</v>
      </c>
      <c r="J2260" s="4"/>
    </row>
    <row r="2261" spans="1:10" x14ac:dyDescent="0.25">
      <c r="A2261" s="39">
        <v>2260</v>
      </c>
      <c r="B2261" s="3" t="s">
        <v>1251</v>
      </c>
      <c r="C2261" s="75" t="s">
        <v>832</v>
      </c>
      <c r="D2261" s="75" t="s">
        <v>375</v>
      </c>
      <c r="E2261" s="75" t="str">
        <f t="shared" si="46"/>
        <v>০</v>
      </c>
      <c r="F2261" s="22" t="str">
        <f>"8119457774219"</f>
        <v>8119457774219</v>
      </c>
      <c r="G2261" s="75" t="str">
        <f>"১৩০৩০৬১৮০০৯৫"</f>
        <v>১৩০৩০৬১৮০০৯৫</v>
      </c>
      <c r="H2261" s="75" t="s">
        <v>362</v>
      </c>
      <c r="I2261" s="75" t="s">
        <v>362</v>
      </c>
      <c r="J2261" s="4"/>
    </row>
    <row r="2262" spans="1:10" x14ac:dyDescent="0.25">
      <c r="A2262" s="39">
        <v>2261</v>
      </c>
      <c r="B2262" s="3" t="s">
        <v>1252</v>
      </c>
      <c r="C2262" s="75" t="s">
        <v>1253</v>
      </c>
      <c r="D2262" s="75" t="s">
        <v>375</v>
      </c>
      <c r="E2262" s="75" t="str">
        <f t="shared" si="46"/>
        <v>০</v>
      </c>
      <c r="F2262" s="22" t="str">
        <f>"8119457773806"</f>
        <v>8119457773806</v>
      </c>
      <c r="G2262" s="75" t="str">
        <f>"১৩০৩০৬১৮০০৯৪"</f>
        <v>১৩০৩০৬১৮০০৯৪</v>
      </c>
      <c r="H2262" s="75" t="s">
        <v>420</v>
      </c>
      <c r="I2262" s="75" t="s">
        <v>420</v>
      </c>
      <c r="J2262" s="4"/>
    </row>
    <row r="2263" spans="1:10" x14ac:dyDescent="0.25">
      <c r="A2263" s="39">
        <v>2262</v>
      </c>
      <c r="B2263" s="3" t="s">
        <v>1687</v>
      </c>
      <c r="C2263" s="75" t="s">
        <v>3104</v>
      </c>
      <c r="D2263" s="75" t="s">
        <v>375</v>
      </c>
      <c r="E2263" s="75" t="str">
        <f t="shared" si="46"/>
        <v>০</v>
      </c>
      <c r="F2263" s="22" t="str">
        <f>"8119457714598"</f>
        <v>8119457714598</v>
      </c>
      <c r="G2263" s="75" t="str">
        <f>"১৩০৩০৬১৮০০৯৩"</f>
        <v>১৩০৩০৬১৮০০৯৩</v>
      </c>
      <c r="H2263" s="75" t="s">
        <v>371</v>
      </c>
      <c r="I2263" s="75" t="s">
        <v>371</v>
      </c>
      <c r="J2263" s="4"/>
    </row>
    <row r="2264" spans="1:10" x14ac:dyDescent="0.25">
      <c r="A2264" s="39">
        <v>2263</v>
      </c>
      <c r="B2264" s="3" t="s">
        <v>1254</v>
      </c>
      <c r="C2264" s="75" t="s">
        <v>1255</v>
      </c>
      <c r="D2264" s="75" t="s">
        <v>375</v>
      </c>
      <c r="E2264" s="75" t="str">
        <f t="shared" si="46"/>
        <v>০</v>
      </c>
      <c r="F2264" s="22" t="str">
        <f>"8119457773260"</f>
        <v>8119457773260</v>
      </c>
      <c r="G2264" s="75" t="str">
        <f>"১৩০৩০৬১৮০০৯২"</f>
        <v>১৩০৩০৬১৮০০৯২</v>
      </c>
      <c r="H2264" s="75" t="s">
        <v>346</v>
      </c>
      <c r="I2264" s="75" t="s">
        <v>346</v>
      </c>
      <c r="J2264" s="4"/>
    </row>
    <row r="2265" spans="1:10" x14ac:dyDescent="0.25">
      <c r="A2265" s="39">
        <v>2264</v>
      </c>
      <c r="B2265" s="3" t="s">
        <v>562</v>
      </c>
      <c r="C2265" s="75" t="s">
        <v>1256</v>
      </c>
      <c r="D2265" s="75" t="s">
        <v>375</v>
      </c>
      <c r="E2265" s="75" t="str">
        <f t="shared" si="46"/>
        <v>০</v>
      </c>
      <c r="F2265" s="22" t="str">
        <f>"8119457773057"</f>
        <v>8119457773057</v>
      </c>
      <c r="G2265" s="75" t="str">
        <f>"১৩০৩০৬১৮০০৯১"</f>
        <v>১৩০৩০৬১৮০০৯১</v>
      </c>
      <c r="H2265" s="75" t="s">
        <v>357</v>
      </c>
      <c r="I2265" s="75" t="s">
        <v>357</v>
      </c>
      <c r="J2265" s="4"/>
    </row>
    <row r="2266" spans="1:10" x14ac:dyDescent="0.25">
      <c r="A2266" s="39">
        <v>2265</v>
      </c>
      <c r="B2266" s="3" t="s">
        <v>1257</v>
      </c>
      <c r="C2266" s="75" t="s">
        <v>1258</v>
      </c>
      <c r="D2266" s="75" t="s">
        <v>375</v>
      </c>
      <c r="E2266" s="75" t="str">
        <f t="shared" si="46"/>
        <v>০</v>
      </c>
      <c r="F2266" s="22" t="str">
        <f>"8119457773157"</f>
        <v>8119457773157</v>
      </c>
      <c r="G2266" s="75" t="str">
        <f>"১৩০৩০৬১৮০০৯০"</f>
        <v>১৩০৩০৬১৮০০৯০</v>
      </c>
      <c r="H2266" s="75" t="s">
        <v>322</v>
      </c>
      <c r="I2266" s="75" t="s">
        <v>322</v>
      </c>
      <c r="J2266" s="4"/>
    </row>
    <row r="2267" spans="1:10" x14ac:dyDescent="0.25">
      <c r="A2267" s="39">
        <v>2266</v>
      </c>
      <c r="B2267" s="3" t="s">
        <v>985</v>
      </c>
      <c r="C2267" s="75" t="s">
        <v>1259</v>
      </c>
      <c r="D2267" s="75" t="s">
        <v>375</v>
      </c>
      <c r="E2267" s="75" t="str">
        <f t="shared" si="46"/>
        <v>০</v>
      </c>
      <c r="F2267" s="22" t="str">
        <f>"8119457000099"</f>
        <v>8119457000099</v>
      </c>
      <c r="G2267" s="75" t="str">
        <f>"১৩০৩০৬১৮০০৮৯"</f>
        <v>১৩০৩০৬১৮০০৮৯</v>
      </c>
      <c r="H2267" s="75" t="s">
        <v>321</v>
      </c>
      <c r="I2267" s="75" t="s">
        <v>321</v>
      </c>
      <c r="J2267" s="4"/>
    </row>
    <row r="2268" spans="1:10" x14ac:dyDescent="0.25">
      <c r="A2268" s="39">
        <v>2267</v>
      </c>
      <c r="B2268" s="3" t="s">
        <v>3105</v>
      </c>
      <c r="C2268" s="75" t="s">
        <v>3106</v>
      </c>
      <c r="D2268" s="75" t="s">
        <v>375</v>
      </c>
      <c r="E2268" s="75" t="str">
        <f t="shared" si="46"/>
        <v>০</v>
      </c>
      <c r="F2268" s="22" t="str">
        <f>"8119457773349"</f>
        <v>8119457773349</v>
      </c>
      <c r="G2268" s="75" t="str">
        <f>"১৩০৩০৬১৮০০৮৮"</f>
        <v>১৩০৩০৬১৮০০৮৮</v>
      </c>
      <c r="H2268" s="75" t="s">
        <v>371</v>
      </c>
      <c r="I2268" s="75" t="s">
        <v>371</v>
      </c>
      <c r="J2268" s="4"/>
    </row>
    <row r="2269" spans="1:10" x14ac:dyDescent="0.25">
      <c r="A2269" s="39">
        <v>2268</v>
      </c>
      <c r="B2269" s="3" t="s">
        <v>3107</v>
      </c>
      <c r="C2269" s="75" t="s">
        <v>1260</v>
      </c>
      <c r="D2269" s="75" t="s">
        <v>375</v>
      </c>
      <c r="E2269" s="75" t="str">
        <f t="shared" si="46"/>
        <v>০</v>
      </c>
      <c r="F2269" s="22" t="str">
        <f>"8119457773976"</f>
        <v>8119457773976</v>
      </c>
      <c r="G2269" s="75" t="str">
        <f>"১৩০৩০৬১৮০০৮৭"</f>
        <v>১৩০৩০৬১৮০০৮৭</v>
      </c>
      <c r="H2269" s="75" t="s">
        <v>424</v>
      </c>
      <c r="I2269" s="75" t="s">
        <v>424</v>
      </c>
      <c r="J2269" s="4"/>
    </row>
    <row r="2270" spans="1:10" x14ac:dyDescent="0.25">
      <c r="A2270" s="39">
        <v>2269</v>
      </c>
      <c r="B2270" s="3" t="s">
        <v>3108</v>
      </c>
      <c r="C2270" s="75" t="s">
        <v>1261</v>
      </c>
      <c r="D2270" s="75" t="s">
        <v>375</v>
      </c>
      <c r="E2270" s="75" t="str">
        <f t="shared" si="46"/>
        <v>০</v>
      </c>
      <c r="F2270" s="22" t="str">
        <f>"8119457773316"</f>
        <v>8119457773316</v>
      </c>
      <c r="G2270" s="75" t="str">
        <f>"১৩০৩০৬১৮০০৮৬"</f>
        <v>১৩০৩০৬১৮০০৮৬</v>
      </c>
      <c r="H2270" s="75" t="s">
        <v>425</v>
      </c>
      <c r="I2270" s="75" t="s">
        <v>425</v>
      </c>
      <c r="J2270" s="4"/>
    </row>
    <row r="2271" spans="1:10" x14ac:dyDescent="0.25">
      <c r="A2271" s="39">
        <v>2270</v>
      </c>
      <c r="B2271" s="3" t="s">
        <v>947</v>
      </c>
      <c r="C2271" s="75" t="s">
        <v>1262</v>
      </c>
      <c r="D2271" s="75" t="s">
        <v>375</v>
      </c>
      <c r="E2271" s="75" t="str">
        <f t="shared" si="46"/>
        <v>০</v>
      </c>
      <c r="F2271" s="22" t="str">
        <f>"8119457773259"</f>
        <v>8119457773259</v>
      </c>
      <c r="G2271" s="75" t="str">
        <f>"১৩০৩০৬১৮০০৮৫"</f>
        <v>১৩০৩০৬১৮০০৮৫</v>
      </c>
      <c r="H2271" s="75" t="s">
        <v>424</v>
      </c>
      <c r="I2271" s="75" t="s">
        <v>424</v>
      </c>
      <c r="J2271" s="4"/>
    </row>
    <row r="2272" spans="1:10" x14ac:dyDescent="0.25">
      <c r="A2272" s="39">
        <v>2271</v>
      </c>
      <c r="B2272" s="3" t="s">
        <v>3109</v>
      </c>
      <c r="C2272" s="75" t="s">
        <v>1263</v>
      </c>
      <c r="D2272" s="75" t="s">
        <v>375</v>
      </c>
      <c r="E2272" s="75" t="str">
        <f t="shared" si="46"/>
        <v>০</v>
      </c>
      <c r="F2272" s="22" t="str">
        <f>"8119457773839"</f>
        <v>8119457773839</v>
      </c>
      <c r="G2272" s="75" t="str">
        <f>"১৩০৩০৬১৮০০৮৪"</f>
        <v>১৩০৩০৬১৮০০৮৪</v>
      </c>
      <c r="H2272" s="75" t="s">
        <v>323</v>
      </c>
      <c r="I2272" s="75" t="s">
        <v>323</v>
      </c>
      <c r="J2272" s="4"/>
    </row>
    <row r="2273" spans="1:10" x14ac:dyDescent="0.25">
      <c r="A2273" s="39">
        <v>2272</v>
      </c>
      <c r="B2273" s="3" t="s">
        <v>1264</v>
      </c>
      <c r="C2273" s="75" t="s">
        <v>1265</v>
      </c>
      <c r="D2273" s="75" t="s">
        <v>375</v>
      </c>
      <c r="E2273" s="75" t="str">
        <f t="shared" si="46"/>
        <v>০</v>
      </c>
      <c r="F2273" s="22" t="str">
        <f>"8119457773551"</f>
        <v>8119457773551</v>
      </c>
      <c r="G2273" s="75" t="str">
        <f>"১৩০৩০৬১৮০০৮৩"</f>
        <v>১৩০৩০৬১৮০০৮৩</v>
      </c>
      <c r="H2273" s="75" t="s">
        <v>319</v>
      </c>
      <c r="I2273" s="75" t="s">
        <v>319</v>
      </c>
      <c r="J2273" s="4"/>
    </row>
    <row r="2274" spans="1:10" x14ac:dyDescent="0.25">
      <c r="A2274" s="39">
        <v>2273</v>
      </c>
      <c r="B2274" s="3" t="s">
        <v>1266</v>
      </c>
      <c r="C2274" s="75" t="s">
        <v>1267</v>
      </c>
      <c r="D2274" s="75" t="s">
        <v>375</v>
      </c>
      <c r="E2274" s="75" t="str">
        <f t="shared" si="46"/>
        <v>০</v>
      </c>
      <c r="F2274" s="22" t="str">
        <f>"8119457773570"</f>
        <v>8119457773570</v>
      </c>
      <c r="G2274" s="75" t="str">
        <f>"১৩০৩০৬১৮০০৮২"</f>
        <v>১৩০৩০৬১৮০০৮২</v>
      </c>
      <c r="H2274" s="75" t="s">
        <v>346</v>
      </c>
      <c r="I2274" s="75" t="s">
        <v>346</v>
      </c>
      <c r="J2274" s="4"/>
    </row>
    <row r="2275" spans="1:10" x14ac:dyDescent="0.25">
      <c r="A2275" s="39">
        <v>2274</v>
      </c>
      <c r="B2275" s="3" t="s">
        <v>1268</v>
      </c>
      <c r="C2275" s="75" t="s">
        <v>1269</v>
      </c>
      <c r="D2275" s="75" t="s">
        <v>375</v>
      </c>
      <c r="E2275" s="75" t="str">
        <f t="shared" si="46"/>
        <v>০</v>
      </c>
      <c r="F2275" s="22" t="str">
        <f>"8119457773524"</f>
        <v>8119457773524</v>
      </c>
      <c r="G2275" s="75" t="str">
        <f>"১৩০৩০৬১৮০০৮১"</f>
        <v>১৩০৩০৬১৮০০৮১</v>
      </c>
      <c r="H2275" s="75" t="s">
        <v>346</v>
      </c>
      <c r="I2275" s="75" t="s">
        <v>346</v>
      </c>
      <c r="J2275" s="4"/>
    </row>
    <row r="2276" spans="1:10" x14ac:dyDescent="0.25">
      <c r="A2276" s="39">
        <v>2275</v>
      </c>
      <c r="B2276" s="3" t="s">
        <v>1270</v>
      </c>
      <c r="C2276" s="75" t="s">
        <v>1271</v>
      </c>
      <c r="D2276" s="75" t="s">
        <v>375</v>
      </c>
      <c r="E2276" s="75" t="str">
        <f t="shared" si="46"/>
        <v>০</v>
      </c>
      <c r="F2276" s="22" t="str">
        <f>"8119457773824"</f>
        <v>8119457773824</v>
      </c>
      <c r="G2276" s="75" t="str">
        <f>"১৩০৩০৬১৮০০৮০"</f>
        <v>১৩০৩০৬১৮০০৮০</v>
      </c>
      <c r="H2276" s="75" t="s">
        <v>371</v>
      </c>
      <c r="I2276" s="75" t="s">
        <v>371</v>
      </c>
      <c r="J2276" s="4"/>
    </row>
    <row r="2277" spans="1:10" x14ac:dyDescent="0.25">
      <c r="A2277" s="39">
        <v>2276</v>
      </c>
      <c r="B2277" s="3" t="s">
        <v>1272</v>
      </c>
      <c r="C2277" s="75" t="s">
        <v>3110</v>
      </c>
      <c r="D2277" s="75" t="s">
        <v>375</v>
      </c>
      <c r="E2277" s="75" t="str">
        <f t="shared" si="46"/>
        <v>০</v>
      </c>
      <c r="F2277" s="22" t="str">
        <f>"8119457773606"</f>
        <v>8119457773606</v>
      </c>
      <c r="G2277" s="75" t="str">
        <f>"১৩০৩০৬১৮০০৭৯"</f>
        <v>১৩০৩০৬১৮০০৭৯</v>
      </c>
      <c r="H2277" s="75" t="s">
        <v>323</v>
      </c>
      <c r="I2277" s="75" t="s">
        <v>323</v>
      </c>
      <c r="J2277" s="4"/>
    </row>
    <row r="2278" spans="1:10" x14ac:dyDescent="0.25">
      <c r="A2278" s="39">
        <v>2277</v>
      </c>
      <c r="B2278" s="3" t="s">
        <v>1273</v>
      </c>
      <c r="C2278" s="75" t="s">
        <v>1274</v>
      </c>
      <c r="D2278" s="75" t="s">
        <v>375</v>
      </c>
      <c r="E2278" s="75" t="str">
        <f t="shared" si="46"/>
        <v>০</v>
      </c>
      <c r="F2278" s="22" t="str">
        <f>"8119457773525"</f>
        <v>8119457773525</v>
      </c>
      <c r="G2278" s="75" t="str">
        <f>"১৩০৩০৬১৮০০৭৮"</f>
        <v>১৩০৩০৬১৮০০৭৮</v>
      </c>
      <c r="H2278" s="75" t="s">
        <v>321</v>
      </c>
      <c r="I2278" s="75" t="s">
        <v>321</v>
      </c>
      <c r="J2278" s="4"/>
    </row>
    <row r="2279" spans="1:10" x14ac:dyDescent="0.25">
      <c r="A2279" s="39">
        <v>2278</v>
      </c>
      <c r="B2279" s="3" t="s">
        <v>3111</v>
      </c>
      <c r="C2279" s="75" t="s">
        <v>3112</v>
      </c>
      <c r="D2279" s="75" t="s">
        <v>375</v>
      </c>
      <c r="E2279" s="75" t="str">
        <f t="shared" si="46"/>
        <v>০</v>
      </c>
      <c r="F2279" s="22" t="str">
        <f>"8119457773218"</f>
        <v>8119457773218</v>
      </c>
      <c r="G2279" s="75" t="str">
        <f>"১৩০৩০৬১৮০০৭৭"</f>
        <v>১৩০৩০৬১৮০০৭৭</v>
      </c>
      <c r="H2279" s="75" t="s">
        <v>346</v>
      </c>
      <c r="I2279" s="75" t="s">
        <v>346</v>
      </c>
      <c r="J2279" s="4"/>
    </row>
    <row r="2280" spans="1:10" x14ac:dyDescent="0.25">
      <c r="A2280" s="39">
        <v>2279</v>
      </c>
      <c r="B2280" s="3" t="s">
        <v>1275</v>
      </c>
      <c r="C2280" s="75" t="s">
        <v>1276</v>
      </c>
      <c r="D2280" s="75" t="s">
        <v>375</v>
      </c>
      <c r="E2280" s="75" t="str">
        <f t="shared" si="46"/>
        <v>০</v>
      </c>
      <c r="F2280" s="22" t="str">
        <f>"8119457779816"</f>
        <v>8119457779816</v>
      </c>
      <c r="G2280" s="75" t="str">
        <f>"১৩০৩০৬১৮০০৭৬"</f>
        <v>১৩০৩০৬১৮০০৭৬</v>
      </c>
      <c r="H2280" s="75" t="s">
        <v>392</v>
      </c>
      <c r="I2280" s="75" t="s">
        <v>392</v>
      </c>
      <c r="J2280" s="4"/>
    </row>
    <row r="2281" spans="1:10" x14ac:dyDescent="0.25">
      <c r="A2281" s="39">
        <v>2280</v>
      </c>
      <c r="B2281" s="3" t="s">
        <v>1277</v>
      </c>
      <c r="C2281" s="75" t="s">
        <v>1278</v>
      </c>
      <c r="D2281" s="75" t="s">
        <v>375</v>
      </c>
      <c r="E2281" s="75" t="str">
        <f t="shared" si="46"/>
        <v>০</v>
      </c>
      <c r="F2281" s="22" t="str">
        <f>"8119457726994"</f>
        <v>8119457726994</v>
      </c>
      <c r="G2281" s="75" t="str">
        <f>"১৩০৩০৬১৮০০৭৫"</f>
        <v>১৩০৩০৬১৮০০৭৫</v>
      </c>
      <c r="H2281" s="75" t="s">
        <v>371</v>
      </c>
      <c r="I2281" s="75" t="s">
        <v>371</v>
      </c>
      <c r="J2281" s="5"/>
    </row>
    <row r="2282" spans="1:10" x14ac:dyDescent="0.25">
      <c r="A2282" s="39">
        <v>2281</v>
      </c>
      <c r="B2282" s="3" t="s">
        <v>380</v>
      </c>
      <c r="C2282" s="75" t="s">
        <v>388</v>
      </c>
      <c r="D2282" s="75" t="s">
        <v>375</v>
      </c>
      <c r="E2282" s="75" t="str">
        <f t="shared" si="46"/>
        <v>০</v>
      </c>
      <c r="F2282" s="22" t="str">
        <f>"8119457774045"</f>
        <v>8119457774045</v>
      </c>
      <c r="G2282" s="75" t="str">
        <f>"১৩০৩০৬১৮০০৭৪"</f>
        <v>১৩০৩০৬১৮০০৭৪</v>
      </c>
      <c r="H2282" s="75" t="s">
        <v>322</v>
      </c>
      <c r="I2282" s="75" t="s">
        <v>322</v>
      </c>
      <c r="J2282" s="5"/>
    </row>
    <row r="2283" spans="1:10" x14ac:dyDescent="0.25">
      <c r="A2283" s="39">
        <v>2282</v>
      </c>
      <c r="B2283" s="3" t="s">
        <v>1279</v>
      </c>
      <c r="C2283" s="75" t="s">
        <v>388</v>
      </c>
      <c r="D2283" s="75" t="s">
        <v>375</v>
      </c>
      <c r="E2283" s="75" t="str">
        <f t="shared" si="46"/>
        <v>০</v>
      </c>
      <c r="F2283" s="22" t="str">
        <f>"8119457774042"</f>
        <v>8119457774042</v>
      </c>
      <c r="G2283" s="75" t="str">
        <f>"১৩০৩০৬১৮০০৭৩"</f>
        <v>১৩০৩০৬১৮০০৭৩</v>
      </c>
      <c r="H2283" s="75" t="s">
        <v>319</v>
      </c>
      <c r="I2283" s="75" t="s">
        <v>319</v>
      </c>
      <c r="J2283" s="5"/>
    </row>
    <row r="2284" spans="1:10" x14ac:dyDescent="0.25">
      <c r="A2284" s="39">
        <v>2283</v>
      </c>
      <c r="B2284" s="3" t="s">
        <v>1280</v>
      </c>
      <c r="C2284" s="75" t="s">
        <v>3104</v>
      </c>
      <c r="D2284" s="75" t="s">
        <v>375</v>
      </c>
      <c r="E2284" s="75" t="str">
        <f t="shared" si="46"/>
        <v>০</v>
      </c>
      <c r="F2284" s="22" t="str">
        <f>"8119457774081"</f>
        <v>8119457774081</v>
      </c>
      <c r="G2284" s="75" t="str">
        <f>"১৩০৩০৬১৮০০৭২"</f>
        <v>১৩০৩০৬১৮০০৭২</v>
      </c>
      <c r="H2284" s="75" t="s">
        <v>322</v>
      </c>
      <c r="I2284" s="75" t="s">
        <v>322</v>
      </c>
      <c r="J2284" s="5"/>
    </row>
    <row r="2285" spans="1:10" x14ac:dyDescent="0.25">
      <c r="A2285" s="39">
        <v>2284</v>
      </c>
      <c r="B2285" s="3" t="s">
        <v>470</v>
      </c>
      <c r="C2285" s="75" t="s">
        <v>3113</v>
      </c>
      <c r="D2285" s="75" t="s">
        <v>375</v>
      </c>
      <c r="E2285" s="75" t="str">
        <f t="shared" si="46"/>
        <v>০</v>
      </c>
      <c r="F2285" s="22" t="str">
        <f>"8119457774050"</f>
        <v>8119457774050</v>
      </c>
      <c r="G2285" s="75" t="str">
        <f>"১৩০৩০৬১৮০০৭১"</f>
        <v>১৩০৩০৬১৮০০৭১</v>
      </c>
      <c r="H2285" s="75" t="s">
        <v>357</v>
      </c>
      <c r="I2285" s="75" t="s">
        <v>357</v>
      </c>
      <c r="J2285" s="5"/>
    </row>
    <row r="2286" spans="1:10" x14ac:dyDescent="0.25">
      <c r="A2286" s="39">
        <v>2285</v>
      </c>
      <c r="B2286" s="3" t="s">
        <v>891</v>
      </c>
      <c r="C2286" s="75" t="s">
        <v>3114</v>
      </c>
      <c r="D2286" s="75" t="s">
        <v>375</v>
      </c>
      <c r="E2286" s="75" t="str">
        <f t="shared" si="46"/>
        <v>০</v>
      </c>
      <c r="F2286" s="22" t="str">
        <f>"8119457"</f>
        <v>8119457</v>
      </c>
      <c r="G2286" s="75" t="str">
        <f>"১৩০৩০৬১৮০০৭০"</f>
        <v>১৩০৩০৬১৮০০৭০</v>
      </c>
      <c r="H2286" s="75" t="s">
        <v>392</v>
      </c>
      <c r="I2286" s="75" t="s">
        <v>392</v>
      </c>
      <c r="J2286" s="5"/>
    </row>
    <row r="2287" spans="1:10" x14ac:dyDescent="0.25">
      <c r="A2287" s="39">
        <v>2286</v>
      </c>
      <c r="B2287" s="3" t="s">
        <v>1281</v>
      </c>
      <c r="C2287" s="75" t="s">
        <v>388</v>
      </c>
      <c r="D2287" s="75" t="s">
        <v>375</v>
      </c>
      <c r="E2287" s="75" t="str">
        <f t="shared" si="46"/>
        <v>০</v>
      </c>
      <c r="F2287" s="22" t="str">
        <f>"8119457740046"</f>
        <v>8119457740046</v>
      </c>
      <c r="G2287" s="75" t="str">
        <f>"১৩০৩০৬১৮০০৬৯"</f>
        <v>১৩০৩০৬১৮০০৬৯</v>
      </c>
      <c r="H2287" s="75" t="s">
        <v>371</v>
      </c>
      <c r="I2287" s="75" t="s">
        <v>371</v>
      </c>
      <c r="J2287" s="5"/>
    </row>
    <row r="2288" spans="1:10" x14ac:dyDescent="0.25">
      <c r="A2288" s="39">
        <v>2287</v>
      </c>
      <c r="B2288" s="3" t="s">
        <v>3115</v>
      </c>
      <c r="C2288" s="75" t="s">
        <v>3116</v>
      </c>
      <c r="D2288" s="75" t="s">
        <v>375</v>
      </c>
      <c r="E2288" s="75" t="str">
        <f t="shared" si="46"/>
        <v>০</v>
      </c>
      <c r="F2288" s="22" t="str">
        <f>"8119457773922"</f>
        <v>8119457773922</v>
      </c>
      <c r="G2288" s="75" t="str">
        <f>"১৩০৩০৬১৮০০৬৮"</f>
        <v>১৩০৩০৬১৮০০৬৮</v>
      </c>
      <c r="H2288" s="75" t="s">
        <v>318</v>
      </c>
      <c r="I2288" s="75" t="s">
        <v>318</v>
      </c>
      <c r="J2288" s="5"/>
    </row>
    <row r="2289" spans="1:10" x14ac:dyDescent="0.25">
      <c r="A2289" s="39">
        <v>2288</v>
      </c>
      <c r="B2289" s="3" t="s">
        <v>3117</v>
      </c>
      <c r="C2289" s="75" t="s">
        <v>904</v>
      </c>
      <c r="D2289" s="75" t="s">
        <v>375</v>
      </c>
      <c r="E2289" s="75" t="str">
        <f t="shared" si="46"/>
        <v>০</v>
      </c>
      <c r="F2289" s="22" t="str">
        <f>"8119457774223"</f>
        <v>8119457774223</v>
      </c>
      <c r="G2289" s="75" t="str">
        <f>"১৩০৩০৬১৮০০৬৭"</f>
        <v>১৩০৩০৬১৮০০৬৭</v>
      </c>
      <c r="H2289" s="75" t="s">
        <v>392</v>
      </c>
      <c r="I2289" s="75" t="s">
        <v>392</v>
      </c>
      <c r="J2289" s="5"/>
    </row>
    <row r="2290" spans="1:10" x14ac:dyDescent="0.25">
      <c r="A2290" s="39">
        <v>2289</v>
      </c>
      <c r="B2290" s="3" t="s">
        <v>377</v>
      </c>
      <c r="C2290" s="75" t="s">
        <v>3118</v>
      </c>
      <c r="D2290" s="75" t="s">
        <v>375</v>
      </c>
      <c r="E2290" s="75" t="str">
        <f t="shared" si="46"/>
        <v>০</v>
      </c>
      <c r="F2290" s="22" t="str">
        <f>"8119457726989"</f>
        <v>8119457726989</v>
      </c>
      <c r="G2290" s="75" t="str">
        <f>"১৩০৩০৬১৮০০৬৬"</f>
        <v>১৩০৩০৬১৮০০৬৬</v>
      </c>
      <c r="H2290" s="75" t="s">
        <v>385</v>
      </c>
      <c r="I2290" s="75" t="s">
        <v>385</v>
      </c>
      <c r="J2290" s="5"/>
    </row>
    <row r="2291" spans="1:10" x14ac:dyDescent="0.25">
      <c r="A2291" s="39">
        <v>2290</v>
      </c>
      <c r="B2291" s="3" t="s">
        <v>1282</v>
      </c>
      <c r="C2291" s="75" t="s">
        <v>1283</v>
      </c>
      <c r="D2291" s="75" t="s">
        <v>375</v>
      </c>
      <c r="E2291" s="75" t="str">
        <f t="shared" si="46"/>
        <v>০</v>
      </c>
      <c r="F2291" s="22" t="str">
        <f>"8119457773748"</f>
        <v>8119457773748</v>
      </c>
      <c r="G2291" s="75" t="str">
        <f>"১৩০৩০৬১৮০০৬৫"</f>
        <v>১৩০৩০৬১৮০০৬৫</v>
      </c>
      <c r="H2291" s="75" t="s">
        <v>323</v>
      </c>
      <c r="I2291" s="75" t="s">
        <v>323</v>
      </c>
      <c r="J2291" s="5"/>
    </row>
    <row r="2292" spans="1:10" x14ac:dyDescent="0.25">
      <c r="A2292" s="39">
        <v>2291</v>
      </c>
      <c r="B2292" s="3" t="s">
        <v>3119</v>
      </c>
      <c r="C2292" s="75" t="s">
        <v>1284</v>
      </c>
      <c r="D2292" s="75" t="s">
        <v>375</v>
      </c>
      <c r="E2292" s="75" t="str">
        <f t="shared" si="46"/>
        <v>০</v>
      </c>
      <c r="F2292" s="22" t="str">
        <f>"8119457774603"</f>
        <v>8119457774603</v>
      </c>
      <c r="G2292" s="75" t="str">
        <f>"১৩০৩০৬১৮০০৬৪"</f>
        <v>১৩০৩০৬১৮০০৬৪</v>
      </c>
      <c r="H2292" s="75" t="s">
        <v>456</v>
      </c>
      <c r="I2292" s="75" t="s">
        <v>456</v>
      </c>
      <c r="J2292" s="5"/>
    </row>
    <row r="2293" spans="1:10" x14ac:dyDescent="0.25">
      <c r="A2293" s="39">
        <v>2292</v>
      </c>
      <c r="B2293" s="3" t="s">
        <v>1285</v>
      </c>
      <c r="C2293" s="75" t="s">
        <v>739</v>
      </c>
      <c r="D2293" s="75" t="s">
        <v>375</v>
      </c>
      <c r="E2293" s="75" t="str">
        <f t="shared" si="46"/>
        <v>০</v>
      </c>
      <c r="F2293" s="22" t="str">
        <f>"8119457774451"</f>
        <v>8119457774451</v>
      </c>
      <c r="G2293" s="75" t="str">
        <f>"১৩০৩০৬১৮০০৬৩"</f>
        <v>১৩০৩০৬১৮০০৬৩</v>
      </c>
      <c r="H2293" s="75" t="s">
        <v>371</v>
      </c>
      <c r="I2293" s="75" t="s">
        <v>371</v>
      </c>
      <c r="J2293" s="5"/>
    </row>
    <row r="2294" spans="1:10" x14ac:dyDescent="0.25">
      <c r="A2294" s="39">
        <v>2293</v>
      </c>
      <c r="B2294" s="3" t="s">
        <v>1095</v>
      </c>
      <c r="C2294" s="75" t="s">
        <v>1286</v>
      </c>
      <c r="D2294" s="75" t="s">
        <v>375</v>
      </c>
      <c r="E2294" s="75" t="str">
        <f t="shared" si="46"/>
        <v>০</v>
      </c>
      <c r="F2294" s="22" t="str">
        <f>"8119457774052"</f>
        <v>8119457774052</v>
      </c>
      <c r="G2294" s="75" t="str">
        <f>"১৩০৩০৬১৮০০৬২"</f>
        <v>১৩০৩০৬১৮০০৬২</v>
      </c>
      <c r="H2294" s="75" t="s">
        <v>371</v>
      </c>
      <c r="I2294" s="75" t="s">
        <v>371</v>
      </c>
      <c r="J2294" s="5"/>
    </row>
    <row r="2295" spans="1:10" x14ac:dyDescent="0.25">
      <c r="A2295" s="39">
        <v>2294</v>
      </c>
      <c r="B2295" s="3" t="s">
        <v>1287</v>
      </c>
      <c r="C2295" s="75" t="s">
        <v>1009</v>
      </c>
      <c r="D2295" s="75" t="s">
        <v>375</v>
      </c>
      <c r="E2295" s="75" t="str">
        <f t="shared" si="46"/>
        <v>০</v>
      </c>
      <c r="F2295" s="22" t="str">
        <f>"8119457774106"</f>
        <v>8119457774106</v>
      </c>
      <c r="G2295" s="75" t="str">
        <f>"১৩০৩০৬১৮০০৬১"</f>
        <v>১৩০৩০৬১৮০০৬১</v>
      </c>
      <c r="H2295" s="75" t="s">
        <v>460</v>
      </c>
      <c r="I2295" s="75" t="s">
        <v>460</v>
      </c>
      <c r="J2295" s="5"/>
    </row>
    <row r="2296" spans="1:10" x14ac:dyDescent="0.25">
      <c r="A2296" s="39">
        <v>2295</v>
      </c>
      <c r="B2296" s="3" t="s">
        <v>351</v>
      </c>
      <c r="C2296" s="75" t="s">
        <v>3120</v>
      </c>
      <c r="D2296" s="75" t="s">
        <v>375</v>
      </c>
      <c r="E2296" s="75" t="str">
        <f t="shared" si="46"/>
        <v>০</v>
      </c>
      <c r="F2296" s="22" t="str">
        <f>"8119457774121"</f>
        <v>8119457774121</v>
      </c>
      <c r="G2296" s="75" t="str">
        <f>"১৩০৩০৬১৮০০৬০"</f>
        <v>১৩০৩০৬১৮০০৬০</v>
      </c>
      <c r="H2296" s="75" t="s">
        <v>329</v>
      </c>
      <c r="I2296" s="75" t="s">
        <v>329</v>
      </c>
      <c r="J2296" s="5"/>
    </row>
    <row r="2297" spans="1:10" x14ac:dyDescent="0.25">
      <c r="A2297" s="39">
        <v>2296</v>
      </c>
      <c r="B2297" s="3" t="s">
        <v>1288</v>
      </c>
      <c r="C2297" s="75" t="s">
        <v>567</v>
      </c>
      <c r="D2297" s="75" t="s">
        <v>375</v>
      </c>
      <c r="E2297" s="75" t="str">
        <f t="shared" si="46"/>
        <v>০</v>
      </c>
      <c r="F2297" s="22" t="str">
        <f>"8119457773040"</f>
        <v>8119457773040</v>
      </c>
      <c r="G2297" s="75" t="str">
        <f>"১৩০৩০৬১৮০০৫৯"</f>
        <v>১৩০৩০৬১৮০০৫৯</v>
      </c>
      <c r="H2297" s="75" t="s">
        <v>319</v>
      </c>
      <c r="I2297" s="75" t="s">
        <v>319</v>
      </c>
      <c r="J2297" s="5"/>
    </row>
    <row r="2298" spans="1:10" x14ac:dyDescent="0.25">
      <c r="A2298" s="39">
        <v>2297</v>
      </c>
      <c r="B2298" s="3" t="s">
        <v>576</v>
      </c>
      <c r="C2298" s="75" t="s">
        <v>1289</v>
      </c>
      <c r="D2298" s="75" t="s">
        <v>375</v>
      </c>
      <c r="E2298" s="75" t="str">
        <f t="shared" si="46"/>
        <v>০</v>
      </c>
      <c r="F2298" s="22" t="str">
        <f>"8119457774114"</f>
        <v>8119457774114</v>
      </c>
      <c r="G2298" s="75" t="str">
        <f>"১৩০৩০৬১৮০০৫৮"</f>
        <v>১৩০৩০৬১৮০০৫৮</v>
      </c>
      <c r="H2298" s="75" t="s">
        <v>322</v>
      </c>
      <c r="I2298" s="75" t="s">
        <v>322</v>
      </c>
      <c r="J2298" s="5"/>
    </row>
    <row r="2299" spans="1:10" x14ac:dyDescent="0.25">
      <c r="A2299" s="39">
        <v>2298</v>
      </c>
      <c r="B2299" s="3" t="s">
        <v>904</v>
      </c>
      <c r="C2299" s="75" t="s">
        <v>3121</v>
      </c>
      <c r="D2299" s="75" t="s">
        <v>375</v>
      </c>
      <c r="E2299" s="75" t="str">
        <f t="shared" si="46"/>
        <v>০</v>
      </c>
      <c r="F2299" s="22" t="str">
        <f>"8119457774020"</f>
        <v>8119457774020</v>
      </c>
      <c r="G2299" s="75" t="str">
        <f>"১৩০৩০৬১৮০০৫৭"</f>
        <v>১৩০৩০৬১৮০০৫৭</v>
      </c>
      <c r="H2299" s="75" t="s">
        <v>323</v>
      </c>
      <c r="I2299" s="75" t="s">
        <v>323</v>
      </c>
      <c r="J2299" s="5"/>
    </row>
    <row r="2300" spans="1:10" x14ac:dyDescent="0.25">
      <c r="A2300" s="39">
        <v>2299</v>
      </c>
      <c r="B2300" s="3" t="s">
        <v>665</v>
      </c>
      <c r="C2300" s="75" t="s">
        <v>1290</v>
      </c>
      <c r="D2300" s="75" t="s">
        <v>375</v>
      </c>
      <c r="E2300" s="75" t="str">
        <f t="shared" si="46"/>
        <v>০</v>
      </c>
      <c r="F2300" s="22" t="str">
        <f>"8119457774112"</f>
        <v>8119457774112</v>
      </c>
      <c r="G2300" s="75" t="str">
        <f>"১৩০৩০৬১৮০০৫৬"</f>
        <v>১৩০৩০৬১৮০০৫৬</v>
      </c>
      <c r="H2300" s="75" t="s">
        <v>467</v>
      </c>
      <c r="I2300" s="75" t="s">
        <v>467</v>
      </c>
      <c r="J2300" s="5"/>
    </row>
    <row r="2301" spans="1:10" x14ac:dyDescent="0.25">
      <c r="A2301" s="39">
        <v>2300</v>
      </c>
      <c r="B2301" s="3" t="s">
        <v>733</v>
      </c>
      <c r="C2301" s="75"/>
      <c r="D2301" s="75" t="s">
        <v>375</v>
      </c>
      <c r="E2301" s="75" t="str">
        <f t="shared" si="46"/>
        <v>০</v>
      </c>
      <c r="F2301" s="22" t="str">
        <f>"8119457774023"</f>
        <v>8119457774023</v>
      </c>
      <c r="G2301" s="75" t="str">
        <f>"১৩০৩০৬১৮০০৫৫"</f>
        <v>১৩০৩০৬১৮০০৫৫</v>
      </c>
      <c r="H2301" s="75" t="s">
        <v>392</v>
      </c>
      <c r="I2301" s="75" t="s">
        <v>392</v>
      </c>
      <c r="J2301" s="5"/>
    </row>
    <row r="2302" spans="1:10" x14ac:dyDescent="0.25">
      <c r="A2302" s="39">
        <v>2301</v>
      </c>
      <c r="B2302" s="3" t="s">
        <v>379</v>
      </c>
      <c r="C2302" s="75" t="s">
        <v>3122</v>
      </c>
      <c r="D2302" s="75" t="s">
        <v>375</v>
      </c>
      <c r="E2302" s="75" t="str">
        <f t="shared" si="46"/>
        <v>০</v>
      </c>
      <c r="F2302" s="22" t="str">
        <f>"8119457773647"</f>
        <v>8119457773647</v>
      </c>
      <c r="G2302" s="75" t="str">
        <f>"১৩০৩০৬১৮০০৫৪"</f>
        <v>১৩০৩০৬১৮০০৫৪</v>
      </c>
      <c r="H2302" s="75" t="s">
        <v>472</v>
      </c>
      <c r="I2302" s="75" t="s">
        <v>472</v>
      </c>
      <c r="J2302" s="5"/>
    </row>
    <row r="2303" spans="1:10" x14ac:dyDescent="0.25">
      <c r="A2303" s="39">
        <v>2302</v>
      </c>
      <c r="B2303" s="3" t="s">
        <v>1291</v>
      </c>
      <c r="C2303" s="75" t="s">
        <v>1292</v>
      </c>
      <c r="D2303" s="75" t="s">
        <v>375</v>
      </c>
      <c r="E2303" s="75" t="str">
        <f t="shared" si="46"/>
        <v>০</v>
      </c>
      <c r="F2303" s="22" t="str">
        <f>"8119457000037"</f>
        <v>8119457000037</v>
      </c>
      <c r="G2303" s="75" t="str">
        <f>"১৩০৩০৬১৮০০৫৩"</f>
        <v>১৩০৩০৬১৮০০৫৩</v>
      </c>
      <c r="H2303" s="75" t="s">
        <v>321</v>
      </c>
      <c r="I2303" s="75" t="s">
        <v>321</v>
      </c>
      <c r="J2303" s="5"/>
    </row>
    <row r="2304" spans="1:10" x14ac:dyDescent="0.25">
      <c r="A2304" s="39">
        <v>2303</v>
      </c>
      <c r="B2304" s="3" t="s">
        <v>1293</v>
      </c>
      <c r="C2304" s="75" t="s">
        <v>1294</v>
      </c>
      <c r="D2304" s="75" t="s">
        <v>375</v>
      </c>
      <c r="E2304" s="75" t="str">
        <f t="shared" si="46"/>
        <v>০</v>
      </c>
      <c r="F2304" s="22" t="str">
        <f>"8119457774150"</f>
        <v>8119457774150</v>
      </c>
      <c r="G2304" s="75" t="str">
        <f>"১৩০৩০৬১৮০০৫২"</f>
        <v>১৩০৩০৬১৮০০৫২</v>
      </c>
      <c r="H2304" s="75" t="s">
        <v>460</v>
      </c>
      <c r="I2304" s="75" t="s">
        <v>460</v>
      </c>
      <c r="J2304" s="5"/>
    </row>
    <row r="2305" spans="1:10" x14ac:dyDescent="0.25">
      <c r="A2305" s="39">
        <v>2304</v>
      </c>
      <c r="B2305" s="3" t="s">
        <v>685</v>
      </c>
      <c r="C2305" s="75" t="s">
        <v>1263</v>
      </c>
      <c r="D2305" s="75" t="s">
        <v>375</v>
      </c>
      <c r="E2305" s="75" t="str">
        <f t="shared" si="46"/>
        <v>০</v>
      </c>
      <c r="F2305" s="22" t="str">
        <f>"8119457774095"</f>
        <v>8119457774095</v>
      </c>
      <c r="G2305" s="75" t="str">
        <f>"১৩০৩০৬১৮০০৫১"</f>
        <v>১৩০৩০৬১৮০০৫১</v>
      </c>
      <c r="H2305" s="75" t="s">
        <v>322</v>
      </c>
      <c r="I2305" s="75" t="s">
        <v>322</v>
      </c>
      <c r="J2305" s="5"/>
    </row>
    <row r="2306" spans="1:10" x14ac:dyDescent="0.25">
      <c r="A2306" s="39">
        <v>2305</v>
      </c>
      <c r="B2306" s="3" t="s">
        <v>1295</v>
      </c>
      <c r="C2306" s="75" t="s">
        <v>1296</v>
      </c>
      <c r="D2306" s="75" t="s">
        <v>375</v>
      </c>
      <c r="E2306" s="75" t="str">
        <f t="shared" si="46"/>
        <v>০</v>
      </c>
      <c r="F2306" s="22" t="str">
        <f>"8119457774084"</f>
        <v>8119457774084</v>
      </c>
      <c r="G2306" s="75" t="str">
        <f>"১৩০৩০৬১৮০০৫০"</f>
        <v>১৩০৩০৬১৮০০৫০</v>
      </c>
      <c r="H2306" s="75" t="s">
        <v>460</v>
      </c>
      <c r="I2306" s="75" t="s">
        <v>460</v>
      </c>
      <c r="J2306" s="5"/>
    </row>
    <row r="2307" spans="1:10" x14ac:dyDescent="0.25">
      <c r="A2307" s="39">
        <v>2306</v>
      </c>
      <c r="B2307" s="3" t="s">
        <v>1297</v>
      </c>
      <c r="C2307" s="75" t="s">
        <v>1298</v>
      </c>
      <c r="D2307" s="75" t="s">
        <v>375</v>
      </c>
      <c r="E2307" s="75" t="str">
        <f t="shared" si="46"/>
        <v>০</v>
      </c>
      <c r="F2307" s="22" t="str">
        <f>"8119457774098"</f>
        <v>8119457774098</v>
      </c>
      <c r="G2307" s="75" t="str">
        <f>"১৩০৩০৬১৮০০৪৯"</f>
        <v>১৩০৩০৬১৮০০৪৯</v>
      </c>
      <c r="H2307" s="75" t="s">
        <v>319</v>
      </c>
      <c r="I2307" s="75" t="s">
        <v>319</v>
      </c>
      <c r="J2307" s="5"/>
    </row>
    <row r="2308" spans="1:10" x14ac:dyDescent="0.25">
      <c r="A2308" s="39">
        <v>2307</v>
      </c>
      <c r="B2308" s="3" t="s">
        <v>1299</v>
      </c>
      <c r="C2308" s="75" t="s">
        <v>1300</v>
      </c>
      <c r="D2308" s="75" t="s">
        <v>375</v>
      </c>
      <c r="E2308" s="75" t="str">
        <f t="shared" si="46"/>
        <v>০</v>
      </c>
      <c r="F2308" s="22" t="str">
        <f>"8119457773982"</f>
        <v>8119457773982</v>
      </c>
      <c r="G2308" s="75" t="str">
        <f>"১৩০৩০৬১৮০০৪৮"</f>
        <v>১৩০৩০৬১৮০০৪৮</v>
      </c>
      <c r="H2308" s="75" t="s">
        <v>371</v>
      </c>
      <c r="I2308" s="75" t="s">
        <v>371</v>
      </c>
      <c r="J2308" s="5"/>
    </row>
    <row r="2309" spans="1:10" x14ac:dyDescent="0.25">
      <c r="A2309" s="39">
        <v>2308</v>
      </c>
      <c r="B2309" s="3" t="s">
        <v>1301</v>
      </c>
      <c r="C2309" s="75" t="s">
        <v>1302</v>
      </c>
      <c r="D2309" s="75" t="s">
        <v>375</v>
      </c>
      <c r="E2309" s="75" t="str">
        <f t="shared" ref="E2309:E2329" si="47">"০"</f>
        <v>০</v>
      </c>
      <c r="F2309" s="22" t="str">
        <f>"8119457773558"</f>
        <v>8119457773558</v>
      </c>
      <c r="G2309" s="75" t="str">
        <f>"১৩০৩০৬১৮০০৪৭"</f>
        <v>১৩০৩০৬১৮০০৪৭</v>
      </c>
      <c r="H2309" s="75" t="s">
        <v>357</v>
      </c>
      <c r="I2309" s="75" t="s">
        <v>357</v>
      </c>
      <c r="J2309" s="5"/>
    </row>
    <row r="2310" spans="1:10" x14ac:dyDescent="0.25">
      <c r="A2310" s="39">
        <v>2309</v>
      </c>
      <c r="B2310" s="3" t="s">
        <v>1303</v>
      </c>
      <c r="C2310" s="75" t="s">
        <v>1304</v>
      </c>
      <c r="D2310" s="75" t="s">
        <v>375</v>
      </c>
      <c r="E2310" s="75" t="str">
        <f t="shared" si="47"/>
        <v>০</v>
      </c>
      <c r="F2310" s="22" t="str">
        <f>"8119457726930"</f>
        <v>8119457726930</v>
      </c>
      <c r="G2310" s="75" t="str">
        <f>"১৩০৩০৬১৮০০৪৬"</f>
        <v>১৩০৩০৬১৮০০৪৬</v>
      </c>
      <c r="H2310" s="75" t="s">
        <v>486</v>
      </c>
      <c r="I2310" s="75" t="s">
        <v>486</v>
      </c>
      <c r="J2310" s="5"/>
    </row>
    <row r="2311" spans="1:10" x14ac:dyDescent="0.25">
      <c r="A2311" s="39">
        <v>2310</v>
      </c>
      <c r="B2311" s="3" t="s">
        <v>1305</v>
      </c>
      <c r="C2311" s="75" t="s">
        <v>1306</v>
      </c>
      <c r="D2311" s="75" t="s">
        <v>375</v>
      </c>
      <c r="E2311" s="75" t="str">
        <f t="shared" si="47"/>
        <v>০</v>
      </c>
      <c r="F2311" s="22" t="str">
        <f>"8119457773591"</f>
        <v>8119457773591</v>
      </c>
      <c r="G2311" s="75" t="str">
        <f>"১৩০৩০৬১৮০০৪৫"</f>
        <v>১৩০৩০৬১৮০০৪৫</v>
      </c>
      <c r="H2311" s="75" t="s">
        <v>371</v>
      </c>
      <c r="I2311" s="75" t="s">
        <v>371</v>
      </c>
      <c r="J2311" s="5"/>
    </row>
    <row r="2312" spans="1:10" x14ac:dyDescent="0.25">
      <c r="A2312" s="39">
        <v>2311</v>
      </c>
      <c r="B2312" s="3" t="s">
        <v>947</v>
      </c>
      <c r="C2312" s="75" t="s">
        <v>1307</v>
      </c>
      <c r="D2312" s="75" t="s">
        <v>375</v>
      </c>
      <c r="E2312" s="75" t="str">
        <f t="shared" si="47"/>
        <v>০</v>
      </c>
      <c r="F2312" s="22" t="str">
        <f>"8119457774119"</f>
        <v>8119457774119</v>
      </c>
      <c r="G2312" s="75" t="str">
        <f>"১৩০৩০৬১৮০০৪৪"</f>
        <v>১৩০৩০৬১৮০০৪৪</v>
      </c>
      <c r="H2312" s="75" t="s">
        <v>371</v>
      </c>
      <c r="I2312" s="75" t="s">
        <v>371</v>
      </c>
      <c r="J2312" s="5"/>
    </row>
    <row r="2313" spans="1:10" x14ac:dyDescent="0.25">
      <c r="A2313" s="39">
        <v>2312</v>
      </c>
      <c r="B2313" s="3" t="s">
        <v>1304</v>
      </c>
      <c r="C2313" s="75" t="s">
        <v>382</v>
      </c>
      <c r="D2313" s="75" t="s">
        <v>375</v>
      </c>
      <c r="E2313" s="75" t="str">
        <f t="shared" si="47"/>
        <v>০</v>
      </c>
      <c r="F2313" s="22" t="str">
        <f>"8119457726928"</f>
        <v>8119457726928</v>
      </c>
      <c r="G2313" s="75" t="str">
        <f>"১৩০৩০৬১৮০০৪৩"</f>
        <v>১৩০৩০৬১৮০০৪৩</v>
      </c>
      <c r="H2313" s="75" t="s">
        <v>385</v>
      </c>
      <c r="I2313" s="75" t="s">
        <v>385</v>
      </c>
      <c r="J2313" s="5"/>
    </row>
    <row r="2314" spans="1:10" x14ac:dyDescent="0.25">
      <c r="A2314" s="39">
        <v>2313</v>
      </c>
      <c r="B2314" s="3" t="s">
        <v>3123</v>
      </c>
      <c r="C2314" s="75" t="s">
        <v>1308</v>
      </c>
      <c r="D2314" s="75" t="s">
        <v>375</v>
      </c>
      <c r="E2314" s="75" t="str">
        <f t="shared" si="47"/>
        <v>০</v>
      </c>
      <c r="F2314" s="22" t="str">
        <f>"8119457726996"</f>
        <v>8119457726996</v>
      </c>
      <c r="G2314" s="75" t="str">
        <f>"১৩০৩০৬১৮০০৪২"</f>
        <v>১৩০৩০৬১৮০০৪২</v>
      </c>
      <c r="H2314" s="75" t="s">
        <v>495</v>
      </c>
      <c r="I2314" s="75" t="s">
        <v>495</v>
      </c>
      <c r="J2314" s="5"/>
    </row>
    <row r="2315" spans="1:10" x14ac:dyDescent="0.25">
      <c r="A2315" s="39">
        <v>2314</v>
      </c>
      <c r="B2315" s="3" t="s">
        <v>1228</v>
      </c>
      <c r="C2315" s="75" t="s">
        <v>3124</v>
      </c>
      <c r="D2315" s="75" t="s">
        <v>375</v>
      </c>
      <c r="E2315" s="75" t="str">
        <f t="shared" si="47"/>
        <v>০</v>
      </c>
      <c r="F2315" s="22" t="str">
        <f>"8119457773886"</f>
        <v>8119457773886</v>
      </c>
      <c r="G2315" s="75" t="str">
        <f>"১৩০৩০৬১৮০০৪১"</f>
        <v>১৩০৩০৬১৮০০৪১</v>
      </c>
      <c r="H2315" s="75" t="s">
        <v>322</v>
      </c>
      <c r="I2315" s="75" t="s">
        <v>322</v>
      </c>
      <c r="J2315" s="5"/>
    </row>
    <row r="2316" spans="1:10" x14ac:dyDescent="0.25">
      <c r="A2316" s="39">
        <v>2315</v>
      </c>
      <c r="B2316" s="3" t="s">
        <v>1309</v>
      </c>
      <c r="C2316" s="75" t="s">
        <v>514</v>
      </c>
      <c r="D2316" s="75" t="s">
        <v>375</v>
      </c>
      <c r="E2316" s="75" t="str">
        <f t="shared" si="47"/>
        <v>০</v>
      </c>
      <c r="F2316" s="22" t="str">
        <f>"8119457726944"</f>
        <v>8119457726944</v>
      </c>
      <c r="G2316" s="75" t="str">
        <f>"১৩০৩০৬১৮০০৪০"</f>
        <v>১৩০৩০৬১৮০০৪০</v>
      </c>
      <c r="H2316" s="75" t="s">
        <v>346</v>
      </c>
      <c r="I2316" s="75" t="s">
        <v>346</v>
      </c>
      <c r="J2316" s="5"/>
    </row>
    <row r="2317" spans="1:10" x14ac:dyDescent="0.25">
      <c r="A2317" s="39">
        <v>2316</v>
      </c>
      <c r="B2317" s="3" t="s">
        <v>1041</v>
      </c>
      <c r="C2317" s="75" t="s">
        <v>1310</v>
      </c>
      <c r="D2317" s="75" t="s">
        <v>375</v>
      </c>
      <c r="E2317" s="75" t="str">
        <f t="shared" si="47"/>
        <v>০</v>
      </c>
      <c r="F2317" s="22" t="str">
        <f>"8119457773963"</f>
        <v>8119457773963</v>
      </c>
      <c r="G2317" s="75" t="str">
        <f>"১৩০৩০৬১৮০০৩৯"</f>
        <v>১৩০৩০৬১৮০০৩৯</v>
      </c>
      <c r="H2317" s="75" t="s">
        <v>319</v>
      </c>
      <c r="I2317" s="75" t="s">
        <v>319</v>
      </c>
      <c r="J2317" s="5"/>
    </row>
    <row r="2318" spans="1:10" x14ac:dyDescent="0.25">
      <c r="A2318" s="39">
        <v>2317</v>
      </c>
      <c r="B2318" s="3" t="s">
        <v>1311</v>
      </c>
      <c r="C2318" s="75" t="s">
        <v>3125</v>
      </c>
      <c r="D2318" s="75" t="s">
        <v>375</v>
      </c>
      <c r="E2318" s="75" t="str">
        <f t="shared" si="47"/>
        <v>০</v>
      </c>
      <c r="F2318" s="22" t="str">
        <f>"8119457744232"</f>
        <v>8119457744232</v>
      </c>
      <c r="G2318" s="75" t="str">
        <f>"১৩০৩০৬১৮০০৩৮"</f>
        <v>১৩০৩০৬১৮০০৩৮</v>
      </c>
      <c r="H2318" s="75" t="s">
        <v>323</v>
      </c>
      <c r="I2318" s="75" t="s">
        <v>323</v>
      </c>
      <c r="J2318" s="5"/>
    </row>
    <row r="2319" spans="1:10" x14ac:dyDescent="0.25">
      <c r="A2319" s="39">
        <v>2318</v>
      </c>
      <c r="B2319" s="3" t="s">
        <v>1312</v>
      </c>
      <c r="C2319" s="75" t="s">
        <v>1313</v>
      </c>
      <c r="D2319" s="75" t="s">
        <v>375</v>
      </c>
      <c r="E2319" s="75" t="str">
        <f t="shared" si="47"/>
        <v>০</v>
      </c>
      <c r="F2319" s="22" t="str">
        <f>"8119457774200"</f>
        <v>8119457774200</v>
      </c>
      <c r="G2319" s="75" t="str">
        <f>"১৩০৩০৬১৮০০৩৭"</f>
        <v>১৩০৩০৬১৮০০৩৭</v>
      </c>
      <c r="H2319" s="75" t="s">
        <v>346</v>
      </c>
      <c r="I2319" s="75" t="s">
        <v>346</v>
      </c>
      <c r="J2319" s="5"/>
    </row>
    <row r="2320" spans="1:10" x14ac:dyDescent="0.25">
      <c r="A2320" s="39">
        <v>2319</v>
      </c>
      <c r="B2320" s="3" t="s">
        <v>626</v>
      </c>
      <c r="C2320" s="75" t="s">
        <v>1032</v>
      </c>
      <c r="D2320" s="75" t="s">
        <v>375</v>
      </c>
      <c r="E2320" s="75" t="str">
        <f t="shared" si="47"/>
        <v>০</v>
      </c>
      <c r="F2320" s="22" t="str">
        <f>"8119457226977"</f>
        <v>8119457226977</v>
      </c>
      <c r="G2320" s="75" t="str">
        <f>"১৩০৩০৬১৮০০৩৬"</f>
        <v>১৩০৩০৬১৮০০৩৬</v>
      </c>
      <c r="H2320" s="75" t="s">
        <v>362</v>
      </c>
      <c r="I2320" s="75" t="s">
        <v>362</v>
      </c>
      <c r="J2320" s="5"/>
    </row>
    <row r="2321" spans="1:10" x14ac:dyDescent="0.25">
      <c r="A2321" s="39">
        <v>2320</v>
      </c>
      <c r="B2321" s="3" t="s">
        <v>831</v>
      </c>
      <c r="C2321" s="75" t="s">
        <v>1314</v>
      </c>
      <c r="D2321" s="75" t="s">
        <v>375</v>
      </c>
      <c r="E2321" s="75" t="str">
        <f t="shared" si="47"/>
        <v>০</v>
      </c>
      <c r="F2321" s="22" t="str">
        <f>"8119457770950"</f>
        <v>8119457770950</v>
      </c>
      <c r="G2321" s="75" t="str">
        <f>"১৩০৩০৬১৮০০৩৫"</f>
        <v>১৩০৩০৬১৮০০৩৫</v>
      </c>
      <c r="H2321" s="75" t="s">
        <v>322</v>
      </c>
      <c r="I2321" s="75" t="s">
        <v>322</v>
      </c>
      <c r="J2321" s="5"/>
    </row>
    <row r="2322" spans="1:10" x14ac:dyDescent="0.25">
      <c r="A2322" s="39">
        <v>2321</v>
      </c>
      <c r="B2322" s="3" t="s">
        <v>1315</v>
      </c>
      <c r="C2322" s="75" t="s">
        <v>1316</v>
      </c>
      <c r="D2322" s="75" t="s">
        <v>375</v>
      </c>
      <c r="E2322" s="75" t="str">
        <f t="shared" si="47"/>
        <v>০</v>
      </c>
      <c r="F2322" s="22" t="str">
        <f>"8119457774038"</f>
        <v>8119457774038</v>
      </c>
      <c r="G2322" s="75" t="str">
        <f>"১৩০৩০৬১৮০০৩৪"</f>
        <v>১৩০৩০৬১৮০০৩৪</v>
      </c>
      <c r="H2322" s="75" t="s">
        <v>346</v>
      </c>
      <c r="I2322" s="75" t="s">
        <v>346</v>
      </c>
      <c r="J2322" s="5"/>
    </row>
    <row r="2323" spans="1:10" x14ac:dyDescent="0.25">
      <c r="A2323" s="39">
        <v>2322</v>
      </c>
      <c r="B2323" s="3" t="s">
        <v>1317</v>
      </c>
      <c r="C2323" s="75" t="s">
        <v>567</v>
      </c>
      <c r="D2323" s="75" t="s">
        <v>375</v>
      </c>
      <c r="E2323" s="75" t="str">
        <f t="shared" si="47"/>
        <v>০</v>
      </c>
      <c r="F2323" s="22" t="str">
        <f>"8119457774220"</f>
        <v>8119457774220</v>
      </c>
      <c r="G2323" s="75" t="str">
        <f>"১৩০৩০৬১৮০০৩৩"</f>
        <v>১৩০৩০৬১৮০০৩৩</v>
      </c>
      <c r="H2323" s="75" t="s">
        <v>362</v>
      </c>
      <c r="I2323" s="75" t="s">
        <v>362</v>
      </c>
      <c r="J2323" s="5"/>
    </row>
    <row r="2324" spans="1:10" x14ac:dyDescent="0.25">
      <c r="A2324" s="39">
        <v>2323</v>
      </c>
      <c r="B2324" s="3" t="s">
        <v>1318</v>
      </c>
      <c r="C2324" s="75" t="s">
        <v>904</v>
      </c>
      <c r="D2324" s="75" t="s">
        <v>375</v>
      </c>
      <c r="E2324" s="75" t="str">
        <f t="shared" si="47"/>
        <v>০</v>
      </c>
      <c r="F2324" s="22" t="str">
        <f>"8119457774112"</f>
        <v>8119457774112</v>
      </c>
      <c r="G2324" s="75" t="str">
        <f>"১৩০৩০৬১৮০০৩২"</f>
        <v>১৩০৩০৬১৮০০৩২</v>
      </c>
      <c r="H2324" s="75" t="s">
        <v>326</v>
      </c>
      <c r="I2324" s="75" t="s">
        <v>326</v>
      </c>
      <c r="J2324" s="5"/>
    </row>
    <row r="2325" spans="1:10" x14ac:dyDescent="0.25">
      <c r="A2325" s="39">
        <v>2324</v>
      </c>
      <c r="B2325" s="3" t="s">
        <v>367</v>
      </c>
      <c r="C2325" s="75" t="s">
        <v>1319</v>
      </c>
      <c r="D2325" s="75" t="s">
        <v>375</v>
      </c>
      <c r="E2325" s="75" t="str">
        <f t="shared" si="47"/>
        <v>০</v>
      </c>
      <c r="F2325" s="22" t="str">
        <f>"8119457773014"</f>
        <v>8119457773014</v>
      </c>
      <c r="G2325" s="75" t="str">
        <f>"১৩০৩০৬১৮০০৩১"</f>
        <v>১৩০৩০৬১৮০০৩১</v>
      </c>
      <c r="H2325" s="75" t="s">
        <v>322</v>
      </c>
      <c r="I2325" s="75" t="s">
        <v>322</v>
      </c>
      <c r="J2325" s="5"/>
    </row>
    <row r="2326" spans="1:10" x14ac:dyDescent="0.25">
      <c r="A2326" s="39">
        <v>2325</v>
      </c>
      <c r="B2326" s="3" t="s">
        <v>753</v>
      </c>
      <c r="C2326" s="75" t="s">
        <v>624</v>
      </c>
      <c r="D2326" s="75" t="s">
        <v>375</v>
      </c>
      <c r="E2326" s="75" t="str">
        <f t="shared" si="47"/>
        <v>০</v>
      </c>
      <c r="F2326" s="22" t="str">
        <f>"8119457774074"</f>
        <v>8119457774074</v>
      </c>
      <c r="G2326" s="75" t="str">
        <f>"১৩০৩০৬১৮০০৩০"</f>
        <v>১৩০৩০৬১৮০০৩০</v>
      </c>
      <c r="H2326" s="75" t="s">
        <v>322</v>
      </c>
      <c r="I2326" s="75" t="s">
        <v>322</v>
      </c>
      <c r="J2326" s="5"/>
    </row>
    <row r="2327" spans="1:10" x14ac:dyDescent="0.25">
      <c r="A2327" s="39">
        <v>2326</v>
      </c>
      <c r="B2327" s="3" t="s">
        <v>1320</v>
      </c>
      <c r="C2327" s="75" t="s">
        <v>1321</v>
      </c>
      <c r="D2327" s="75" t="s">
        <v>375</v>
      </c>
      <c r="E2327" s="75" t="str">
        <f t="shared" si="47"/>
        <v>০</v>
      </c>
      <c r="F2327" s="22" t="str">
        <f>"8119457774008"</f>
        <v>8119457774008</v>
      </c>
      <c r="G2327" s="75" t="str">
        <f>"১৩০৩০৬১৮০০২৯"</f>
        <v>১৩০৩০৬১৮০০২৯</v>
      </c>
      <c r="H2327" s="75" t="s">
        <v>346</v>
      </c>
      <c r="I2327" s="75" t="s">
        <v>346</v>
      </c>
      <c r="J2327" s="5"/>
    </row>
    <row r="2328" spans="1:10" x14ac:dyDescent="0.25">
      <c r="A2328" s="39">
        <v>2327</v>
      </c>
      <c r="B2328" s="3" t="s">
        <v>1322</v>
      </c>
      <c r="C2328" s="75" t="s">
        <v>1323</v>
      </c>
      <c r="D2328" s="75" t="s">
        <v>375</v>
      </c>
      <c r="E2328" s="75" t="str">
        <f t="shared" si="47"/>
        <v>০</v>
      </c>
      <c r="F2328" s="22" t="str">
        <f>"8119457774207"</f>
        <v>8119457774207</v>
      </c>
      <c r="G2328" s="75" t="str">
        <f>"১৩০৩০৬১৮০০২৮"</f>
        <v>১৩০৩০৬১৮০০২৮</v>
      </c>
      <c r="H2328" s="75" t="s">
        <v>362</v>
      </c>
      <c r="I2328" s="75" t="s">
        <v>362</v>
      </c>
      <c r="J2328" s="5"/>
    </row>
    <row r="2329" spans="1:10" x14ac:dyDescent="0.25">
      <c r="A2329" s="39">
        <v>2328</v>
      </c>
      <c r="B2329" s="3" t="s">
        <v>2983</v>
      </c>
      <c r="C2329" s="75" t="s">
        <v>1324</v>
      </c>
      <c r="D2329" s="75" t="s">
        <v>375</v>
      </c>
      <c r="E2329" s="75" t="str">
        <f t="shared" si="47"/>
        <v>০</v>
      </c>
      <c r="F2329" s="22" t="str">
        <f>"8119457774122"</f>
        <v>8119457774122</v>
      </c>
      <c r="G2329" s="75" t="str">
        <f>"১৩০৩০৬১৮০০২৭"</f>
        <v>১৩০৩০৬১৮০০২৭</v>
      </c>
      <c r="H2329" s="75" t="s">
        <v>349</v>
      </c>
      <c r="I2329" s="75" t="s">
        <v>349</v>
      </c>
      <c r="J2329" s="5"/>
    </row>
    <row r="2330" spans="1:10" x14ac:dyDescent="0.25">
      <c r="A2330" s="39">
        <v>2329</v>
      </c>
      <c r="B2330" s="3" t="s">
        <v>1325</v>
      </c>
      <c r="C2330" s="75" t="s">
        <v>1326</v>
      </c>
      <c r="D2330" s="75" t="s">
        <v>375</v>
      </c>
      <c r="E2330" s="75" t="str">
        <f>"০১৯৫৬-৯১০৬৮৩"</f>
        <v>০১৯৫৬-৯১০৬৮৩</v>
      </c>
      <c r="F2330" s="22" t="str">
        <f>"8119457714644"</f>
        <v>8119457714644</v>
      </c>
      <c r="G2330" s="75" t="str">
        <f>"১৩০৩০৬১৮০০২৬"</f>
        <v>১৩০৩০৬১৮০০২৬</v>
      </c>
      <c r="H2330" s="75" t="s">
        <v>362</v>
      </c>
      <c r="I2330" s="75" t="s">
        <v>362</v>
      </c>
      <c r="J2330" s="5"/>
    </row>
    <row r="2331" spans="1:10" x14ac:dyDescent="0.25">
      <c r="A2331" s="39">
        <v>2330</v>
      </c>
      <c r="B2331" s="3" t="s">
        <v>576</v>
      </c>
      <c r="C2331" s="75" t="s">
        <v>1327</v>
      </c>
      <c r="D2331" s="75" t="s">
        <v>375</v>
      </c>
      <c r="E2331" s="75" t="str">
        <f t="shared" ref="E2331:E2394" si="48">"০"</f>
        <v>০</v>
      </c>
      <c r="F2331" s="22" t="str">
        <f>"8119457700240"</f>
        <v>8119457700240</v>
      </c>
      <c r="G2331" s="75" t="str">
        <f>"১৩০৩০৬১৮০০২৫"</f>
        <v>১৩০৩০৬১৮০০২৫</v>
      </c>
      <c r="H2331" s="75" t="s">
        <v>371</v>
      </c>
      <c r="I2331" s="75" t="s">
        <v>371</v>
      </c>
      <c r="J2331" s="5"/>
    </row>
    <row r="2332" spans="1:10" x14ac:dyDescent="0.25">
      <c r="A2332" s="39">
        <v>2331</v>
      </c>
      <c r="B2332" s="3" t="s">
        <v>1257</v>
      </c>
      <c r="C2332" s="75" t="s">
        <v>1328</v>
      </c>
      <c r="D2332" s="75" t="s">
        <v>375</v>
      </c>
      <c r="E2332" s="75" t="str">
        <f t="shared" si="48"/>
        <v>০</v>
      </c>
      <c r="F2332" s="22" t="str">
        <f>"8119457773954"</f>
        <v>8119457773954</v>
      </c>
      <c r="G2332" s="75" t="str">
        <f>"১৩০৩০৬১৮০০২৪"</f>
        <v>১৩০৩০৬১৮০০২৪</v>
      </c>
      <c r="H2332" s="75" t="s">
        <v>322</v>
      </c>
      <c r="I2332" s="75" t="s">
        <v>322</v>
      </c>
      <c r="J2332" s="5"/>
    </row>
    <row r="2333" spans="1:10" x14ac:dyDescent="0.25">
      <c r="A2333" s="39">
        <v>2332</v>
      </c>
      <c r="B2333" s="3" t="s">
        <v>1329</v>
      </c>
      <c r="C2333" s="75" t="s">
        <v>1330</v>
      </c>
      <c r="D2333" s="75" t="s">
        <v>375</v>
      </c>
      <c r="E2333" s="75" t="str">
        <f t="shared" si="48"/>
        <v>০</v>
      </c>
      <c r="F2333" s="22" t="str">
        <f>"8119457773898"</f>
        <v>8119457773898</v>
      </c>
      <c r="G2333" s="75" t="str">
        <f>"১৩০৩০৬১৮০০২৩"</f>
        <v>১৩০৩০৬১৮০০২৩</v>
      </c>
      <c r="H2333" s="75" t="s">
        <v>346</v>
      </c>
      <c r="I2333" s="75" t="s">
        <v>346</v>
      </c>
      <c r="J2333" s="5"/>
    </row>
    <row r="2334" spans="1:10" x14ac:dyDescent="0.25">
      <c r="A2334" s="39">
        <v>2333</v>
      </c>
      <c r="B2334" s="3" t="s">
        <v>1307</v>
      </c>
      <c r="C2334" s="75" t="s">
        <v>1331</v>
      </c>
      <c r="D2334" s="75" t="s">
        <v>375</v>
      </c>
      <c r="E2334" s="75" t="str">
        <f t="shared" si="48"/>
        <v>০</v>
      </c>
      <c r="F2334" s="22" t="str">
        <f>"8119457774138"</f>
        <v>8119457774138</v>
      </c>
      <c r="G2334" s="75" t="str">
        <f>"১৩০৩০৬১৮০০২২"</f>
        <v>১৩০৩০৬১৮০০২২</v>
      </c>
      <c r="H2334" s="75" t="s">
        <v>322</v>
      </c>
      <c r="I2334" s="75" t="s">
        <v>322</v>
      </c>
      <c r="J2334" s="5"/>
    </row>
    <row r="2335" spans="1:10" x14ac:dyDescent="0.25">
      <c r="A2335" s="39">
        <v>2334</v>
      </c>
      <c r="B2335" s="3" t="s">
        <v>377</v>
      </c>
      <c r="C2335" s="75" t="s">
        <v>3126</v>
      </c>
      <c r="D2335" s="75" t="s">
        <v>375</v>
      </c>
      <c r="E2335" s="75" t="str">
        <f t="shared" si="48"/>
        <v>০</v>
      </c>
      <c r="F2335" s="22" t="str">
        <f>"8119457177327"</f>
        <v>8119457177327</v>
      </c>
      <c r="G2335" s="75" t="str">
        <f>"১৩০৩০৬১৮০০০৩"</f>
        <v>১৩০৩০৬১৮০০০৩</v>
      </c>
      <c r="H2335" s="75" t="s">
        <v>322</v>
      </c>
      <c r="I2335" s="75" t="s">
        <v>322</v>
      </c>
      <c r="J2335" s="5"/>
    </row>
    <row r="2336" spans="1:10" x14ac:dyDescent="0.25">
      <c r="A2336" s="39">
        <v>2335</v>
      </c>
      <c r="B2336" s="3" t="s">
        <v>1673</v>
      </c>
      <c r="C2336" s="75" t="s">
        <v>3127</v>
      </c>
      <c r="D2336" s="75" t="s">
        <v>375</v>
      </c>
      <c r="E2336" s="75" t="str">
        <f t="shared" si="48"/>
        <v>০</v>
      </c>
      <c r="F2336" s="22" t="str">
        <f>"8119457146188"</f>
        <v>8119457146188</v>
      </c>
      <c r="G2336" s="75" t="str">
        <f>"১৩০৩০৬১৮০০০২"</f>
        <v>১৩০৩০৬১৮০০০২</v>
      </c>
      <c r="H2336" s="75" t="s">
        <v>322</v>
      </c>
      <c r="I2336" s="75" t="s">
        <v>322</v>
      </c>
      <c r="J2336" s="5"/>
    </row>
    <row r="2337" spans="1:10" x14ac:dyDescent="0.25">
      <c r="A2337" s="39">
        <v>2336</v>
      </c>
      <c r="B2337" s="3" t="s">
        <v>3128</v>
      </c>
      <c r="C2337" s="75" t="s">
        <v>1332</v>
      </c>
      <c r="D2337" s="75" t="s">
        <v>375</v>
      </c>
      <c r="E2337" s="75" t="str">
        <f t="shared" si="48"/>
        <v>০</v>
      </c>
      <c r="F2337" s="22" t="str">
        <f>"8119457773965"</f>
        <v>8119457773965</v>
      </c>
      <c r="G2337" s="75" t="str">
        <f>"১৩০৩০৬১৮০০০১"</f>
        <v>১৩০৩০৬১৮০০০১</v>
      </c>
      <c r="H2337" s="75" t="s">
        <v>322</v>
      </c>
      <c r="I2337" s="75" t="s">
        <v>322</v>
      </c>
      <c r="J2337" s="5"/>
    </row>
    <row r="2338" spans="1:10" x14ac:dyDescent="0.25">
      <c r="A2338" s="39">
        <v>2337</v>
      </c>
      <c r="B2338" s="3" t="s">
        <v>1333</v>
      </c>
      <c r="C2338" s="75" t="s">
        <v>1334</v>
      </c>
      <c r="D2338" s="75" t="s">
        <v>375</v>
      </c>
      <c r="E2338" s="75" t="str">
        <f t="shared" si="48"/>
        <v>০</v>
      </c>
      <c r="F2338" s="22" t="str">
        <f>"8119457725929"</f>
        <v>8119457725929</v>
      </c>
      <c r="G2338" s="75" t="str">
        <f>"১৩০৩০৬১৮০০২১"</f>
        <v>১৩০৩০৬১৮০০২১</v>
      </c>
      <c r="H2338" s="75" t="s">
        <v>322</v>
      </c>
      <c r="I2338" s="75" t="s">
        <v>322</v>
      </c>
      <c r="J2338" s="5"/>
    </row>
    <row r="2339" spans="1:10" x14ac:dyDescent="0.25">
      <c r="A2339" s="39">
        <v>2338</v>
      </c>
      <c r="B2339" s="3" t="s">
        <v>1637</v>
      </c>
      <c r="C2339" s="75" t="s">
        <v>3129</v>
      </c>
      <c r="D2339" s="75" t="s">
        <v>375</v>
      </c>
      <c r="E2339" s="75" t="str">
        <f t="shared" si="48"/>
        <v>০</v>
      </c>
      <c r="F2339" s="22" t="str">
        <f>"8119457774104"</f>
        <v>8119457774104</v>
      </c>
      <c r="G2339" s="75" t="str">
        <f>"১৩০৩০৬১৮০০২০"</f>
        <v>১৩০৩০৬১৮০০২০</v>
      </c>
      <c r="H2339" s="75" t="s">
        <v>456</v>
      </c>
      <c r="I2339" s="75" t="s">
        <v>456</v>
      </c>
      <c r="J2339" s="5"/>
    </row>
    <row r="2340" spans="1:10" x14ac:dyDescent="0.25">
      <c r="A2340" s="39">
        <v>2339</v>
      </c>
      <c r="B2340" s="3" t="s">
        <v>1335</v>
      </c>
      <c r="C2340" s="75" t="s">
        <v>1217</v>
      </c>
      <c r="D2340" s="75" t="s">
        <v>375</v>
      </c>
      <c r="E2340" s="75" t="str">
        <f t="shared" si="48"/>
        <v>০</v>
      </c>
      <c r="F2340" s="22" t="str">
        <f>"8119457774169"</f>
        <v>8119457774169</v>
      </c>
      <c r="G2340" s="75" t="str">
        <f>"১৩০৩০৬১৮০০১৯"</f>
        <v>১৩০৩০৬১৮০০১৯</v>
      </c>
      <c r="H2340" s="75" t="s">
        <v>385</v>
      </c>
      <c r="I2340" s="75" t="s">
        <v>385</v>
      </c>
      <c r="J2340" s="5"/>
    </row>
    <row r="2341" spans="1:10" x14ac:dyDescent="0.25">
      <c r="A2341" s="39">
        <v>2340</v>
      </c>
      <c r="B2341" s="3" t="s">
        <v>3130</v>
      </c>
      <c r="C2341" s="75" t="s">
        <v>716</v>
      </c>
      <c r="D2341" s="75" t="s">
        <v>375</v>
      </c>
      <c r="E2341" s="75" t="str">
        <f t="shared" si="48"/>
        <v>০</v>
      </c>
      <c r="F2341" s="22" t="str">
        <f>"81194570000093"</f>
        <v>81194570000093</v>
      </c>
      <c r="G2341" s="75" t="str">
        <f>"১৩০৩০৬১৮০০১৮"</f>
        <v>১৩০৩০৬১৮০০১৮</v>
      </c>
      <c r="H2341" s="75" t="s">
        <v>376</v>
      </c>
      <c r="I2341" s="75" t="s">
        <v>376</v>
      </c>
      <c r="J2341" s="5"/>
    </row>
    <row r="2342" spans="1:10" x14ac:dyDescent="0.25">
      <c r="A2342" s="39">
        <v>2341</v>
      </c>
      <c r="B2342" s="3" t="s">
        <v>1336</v>
      </c>
      <c r="C2342" s="75" t="s">
        <v>382</v>
      </c>
      <c r="D2342" s="75" t="s">
        <v>375</v>
      </c>
      <c r="E2342" s="75" t="str">
        <f t="shared" si="48"/>
        <v>০</v>
      </c>
      <c r="F2342" s="22" t="str">
        <f>"8119457774229"</f>
        <v>8119457774229</v>
      </c>
      <c r="G2342" s="75" t="str">
        <f>"১৩০৩০৬১৮০০১৭"</f>
        <v>১৩০৩০৬১৮০০১৭</v>
      </c>
      <c r="H2342" s="75" t="s">
        <v>371</v>
      </c>
      <c r="I2342" s="75" t="s">
        <v>371</v>
      </c>
      <c r="J2342" s="5"/>
    </row>
    <row r="2343" spans="1:10" x14ac:dyDescent="0.25">
      <c r="A2343" s="39">
        <v>2342</v>
      </c>
      <c r="B2343" s="3" t="s">
        <v>654</v>
      </c>
      <c r="C2343" s="75" t="s">
        <v>3125</v>
      </c>
      <c r="D2343" s="75" t="s">
        <v>375</v>
      </c>
      <c r="E2343" s="75" t="str">
        <f t="shared" si="48"/>
        <v>০</v>
      </c>
      <c r="F2343" s="22" t="str">
        <f>"8119457774231"</f>
        <v>8119457774231</v>
      </c>
      <c r="G2343" s="75" t="str">
        <f>"১৩০৩০৬১৮০০১৬"</f>
        <v>১৩০৩০৬১৮০০১৬</v>
      </c>
      <c r="H2343" s="75" t="s">
        <v>346</v>
      </c>
      <c r="I2343" s="75" t="s">
        <v>346</v>
      </c>
      <c r="J2343" s="5"/>
    </row>
    <row r="2344" spans="1:10" x14ac:dyDescent="0.25">
      <c r="A2344" s="39">
        <v>2343</v>
      </c>
      <c r="B2344" s="3" t="s">
        <v>3131</v>
      </c>
      <c r="C2344" s="75" t="s">
        <v>567</v>
      </c>
      <c r="D2344" s="75" t="s">
        <v>375</v>
      </c>
      <c r="E2344" s="75" t="str">
        <f t="shared" si="48"/>
        <v>০</v>
      </c>
      <c r="F2344" s="22" t="str">
        <f>"8119457726909"</f>
        <v>8119457726909</v>
      </c>
      <c r="G2344" s="75" t="str">
        <f>"১৩০৩০৬১৮০০১৫"</f>
        <v>১৩০৩০৬১৮০০১৫</v>
      </c>
      <c r="H2344" s="75" t="s">
        <v>322</v>
      </c>
      <c r="I2344" s="75" t="s">
        <v>322</v>
      </c>
      <c r="J2344" s="5"/>
    </row>
    <row r="2345" spans="1:10" x14ac:dyDescent="0.25">
      <c r="A2345" s="39">
        <v>2344</v>
      </c>
      <c r="B2345" s="3" t="s">
        <v>648</v>
      </c>
      <c r="C2345" s="75" t="s">
        <v>813</v>
      </c>
      <c r="D2345" s="75" t="s">
        <v>375</v>
      </c>
      <c r="E2345" s="75" t="str">
        <f t="shared" si="48"/>
        <v>০</v>
      </c>
      <c r="F2345" s="22" t="str">
        <f>"8119457773945"</f>
        <v>8119457773945</v>
      </c>
      <c r="G2345" s="75" t="str">
        <f>"১৩০৩০৬১৮০০১৪"</f>
        <v>১৩০৩০৬১৮০০১৪</v>
      </c>
      <c r="H2345" s="75" t="s">
        <v>385</v>
      </c>
      <c r="I2345" s="75" t="s">
        <v>385</v>
      </c>
      <c r="J2345" s="5"/>
    </row>
    <row r="2346" spans="1:10" x14ac:dyDescent="0.25">
      <c r="A2346" s="39">
        <v>2345</v>
      </c>
      <c r="B2346" s="3" t="s">
        <v>1337</v>
      </c>
      <c r="C2346" s="75" t="s">
        <v>1338</v>
      </c>
      <c r="D2346" s="75" t="s">
        <v>375</v>
      </c>
      <c r="E2346" s="75" t="str">
        <f t="shared" si="48"/>
        <v>০</v>
      </c>
      <c r="F2346" s="22" t="str">
        <f>"8119457773285"</f>
        <v>8119457773285</v>
      </c>
      <c r="G2346" s="75" t="str">
        <f>"১৩০৩০৬১৮০০১৩"</f>
        <v>১৩০৩০৬১৮০০১৩</v>
      </c>
      <c r="H2346" s="75" t="s">
        <v>322</v>
      </c>
      <c r="I2346" s="75" t="s">
        <v>322</v>
      </c>
      <c r="J2346" s="5"/>
    </row>
    <row r="2347" spans="1:10" x14ac:dyDescent="0.25">
      <c r="A2347" s="39">
        <v>2346</v>
      </c>
      <c r="B2347" s="3" t="s">
        <v>3132</v>
      </c>
      <c r="C2347" s="75" t="s">
        <v>2076</v>
      </c>
      <c r="D2347" s="75" t="s">
        <v>375</v>
      </c>
      <c r="E2347" s="75" t="str">
        <f t="shared" si="48"/>
        <v>০</v>
      </c>
      <c r="F2347" s="22" t="str">
        <f>"8119457773889"</f>
        <v>8119457773889</v>
      </c>
      <c r="G2347" s="75" t="str">
        <f>"১৩০৩০৬১৮০০১২"</f>
        <v>১৩০৩০৬১৮০০১২</v>
      </c>
      <c r="H2347" s="75" t="s">
        <v>362</v>
      </c>
      <c r="I2347" s="75" t="s">
        <v>362</v>
      </c>
      <c r="J2347" s="5"/>
    </row>
    <row r="2348" spans="1:10" x14ac:dyDescent="0.25">
      <c r="A2348" s="39">
        <v>2347</v>
      </c>
      <c r="B2348" s="3" t="s">
        <v>3133</v>
      </c>
      <c r="C2348" s="75" t="s">
        <v>3134</v>
      </c>
      <c r="D2348" s="75" t="s">
        <v>375</v>
      </c>
      <c r="E2348" s="75" t="str">
        <f t="shared" si="48"/>
        <v>০</v>
      </c>
      <c r="F2348" s="22" t="str">
        <f>"8119457714603"</f>
        <v>8119457714603</v>
      </c>
      <c r="G2348" s="75" t="str">
        <f>"১৩০৩০৬১৮০০১১"</f>
        <v>১৩০৩০৬১৮০০১১</v>
      </c>
      <c r="H2348" s="75" t="s">
        <v>385</v>
      </c>
      <c r="I2348" s="75" t="s">
        <v>385</v>
      </c>
      <c r="J2348" s="5"/>
    </row>
    <row r="2349" spans="1:10" x14ac:dyDescent="0.25">
      <c r="A2349" s="39">
        <v>2348</v>
      </c>
      <c r="B2349" s="3" t="s">
        <v>1339</v>
      </c>
      <c r="C2349" s="75" t="s">
        <v>1340</v>
      </c>
      <c r="D2349" s="75" t="s">
        <v>375</v>
      </c>
      <c r="E2349" s="75" t="str">
        <f t="shared" si="48"/>
        <v>০</v>
      </c>
      <c r="F2349" s="22" t="str">
        <f>"8119457773888"</f>
        <v>8119457773888</v>
      </c>
      <c r="G2349" s="75" t="str">
        <f>"১৩০৩০৬১৮০০১০"</f>
        <v>১৩০৩০৬১৮০০১০</v>
      </c>
      <c r="H2349" s="75" t="s">
        <v>392</v>
      </c>
      <c r="I2349" s="75" t="s">
        <v>392</v>
      </c>
      <c r="J2349" s="5"/>
    </row>
    <row r="2350" spans="1:10" x14ac:dyDescent="0.25">
      <c r="A2350" s="39">
        <v>2349</v>
      </c>
      <c r="B2350" s="3" t="s">
        <v>1341</v>
      </c>
      <c r="C2350" s="75" t="s">
        <v>1342</v>
      </c>
      <c r="D2350" s="75" t="s">
        <v>375</v>
      </c>
      <c r="E2350" s="75" t="str">
        <f t="shared" si="48"/>
        <v>০</v>
      </c>
      <c r="F2350" s="22" t="str">
        <f>"8119457773269"</f>
        <v>8119457773269</v>
      </c>
      <c r="G2350" s="75" t="str">
        <f>"১৩০৩০৬১৮০০০৯"</f>
        <v>১৩০৩০৬১৮০০০৯</v>
      </c>
      <c r="H2350" s="75" t="s">
        <v>316</v>
      </c>
      <c r="I2350" s="75" t="s">
        <v>316</v>
      </c>
      <c r="J2350" s="5"/>
    </row>
    <row r="2351" spans="1:10" x14ac:dyDescent="0.25">
      <c r="A2351" s="39">
        <v>2350</v>
      </c>
      <c r="B2351" s="3" t="s">
        <v>1343</v>
      </c>
      <c r="C2351" s="75" t="s">
        <v>1344</v>
      </c>
      <c r="D2351" s="75" t="s">
        <v>375</v>
      </c>
      <c r="E2351" s="75" t="str">
        <f t="shared" si="48"/>
        <v>০</v>
      </c>
      <c r="F2351" s="22" t="str">
        <f>"8119457773818"</f>
        <v>8119457773818</v>
      </c>
      <c r="G2351" s="75" t="str">
        <f>"১৩০৩০৬১৮০০০৮"</f>
        <v>১৩০৩০৬১৮০০০৮</v>
      </c>
      <c r="H2351" s="75" t="s">
        <v>371</v>
      </c>
      <c r="I2351" s="75" t="s">
        <v>371</v>
      </c>
      <c r="J2351" s="5"/>
    </row>
    <row r="2352" spans="1:10" x14ac:dyDescent="0.25">
      <c r="A2352" s="39">
        <v>2351</v>
      </c>
      <c r="B2352" s="3" t="s">
        <v>3135</v>
      </c>
      <c r="C2352" s="75" t="s">
        <v>906</v>
      </c>
      <c r="D2352" s="75" t="s">
        <v>375</v>
      </c>
      <c r="E2352" s="75" t="str">
        <f t="shared" si="48"/>
        <v>০</v>
      </c>
      <c r="F2352" s="22" t="str">
        <f>"8119457773091"</f>
        <v>8119457773091</v>
      </c>
      <c r="G2352" s="75" t="str">
        <f>"১৩০৩০৬১৮০০০৭"</f>
        <v>১৩০৩০৬১৮০০০৭</v>
      </c>
      <c r="H2352" s="75" t="s">
        <v>346</v>
      </c>
      <c r="I2352" s="75" t="s">
        <v>346</v>
      </c>
      <c r="J2352" s="5"/>
    </row>
    <row r="2353" spans="1:10" x14ac:dyDescent="0.25">
      <c r="A2353" s="39">
        <v>2352</v>
      </c>
      <c r="B2353" s="3" t="s">
        <v>3136</v>
      </c>
      <c r="C2353" s="75" t="s">
        <v>3137</v>
      </c>
      <c r="D2353" s="75" t="s">
        <v>375</v>
      </c>
      <c r="E2353" s="75" t="str">
        <f t="shared" si="48"/>
        <v>০</v>
      </c>
      <c r="F2353" s="22" t="str">
        <f>"8119457773088"</f>
        <v>8119457773088</v>
      </c>
      <c r="G2353" s="75" t="str">
        <f>"১৩০৩০৬১৮০০০৬"</f>
        <v>১৩০৩০৬১৮০০০৬</v>
      </c>
      <c r="H2353" s="75" t="s">
        <v>322</v>
      </c>
      <c r="I2353" s="75" t="s">
        <v>322</v>
      </c>
      <c r="J2353" s="5"/>
    </row>
    <row r="2354" spans="1:10" x14ac:dyDescent="0.25">
      <c r="A2354" s="39">
        <v>2353</v>
      </c>
      <c r="B2354" s="3" t="s">
        <v>2660</v>
      </c>
      <c r="C2354" s="75" t="s">
        <v>3138</v>
      </c>
      <c r="D2354" s="75" t="s">
        <v>375</v>
      </c>
      <c r="E2354" s="75" t="str">
        <f t="shared" si="48"/>
        <v>০</v>
      </c>
      <c r="F2354" s="22" t="str">
        <f>"8119457812020"</f>
        <v>8119457812020</v>
      </c>
      <c r="G2354" s="75" t="str">
        <f>"১৩০৩০৬১৮০০০৫"</f>
        <v>১৩০৩০৬১৮০০০৫</v>
      </c>
      <c r="H2354" s="75" t="s">
        <v>385</v>
      </c>
      <c r="I2354" s="75" t="s">
        <v>385</v>
      </c>
      <c r="J2354" s="5"/>
    </row>
    <row r="2355" spans="1:10" x14ac:dyDescent="0.25">
      <c r="A2355" s="39">
        <v>2354</v>
      </c>
      <c r="B2355" s="3" t="s">
        <v>1345</v>
      </c>
      <c r="C2355" s="75" t="s">
        <v>1346</v>
      </c>
      <c r="D2355" s="75" t="s">
        <v>375</v>
      </c>
      <c r="E2355" s="75" t="str">
        <f t="shared" si="48"/>
        <v>০</v>
      </c>
      <c r="F2355" s="22" t="str">
        <f>"8119457726993"</f>
        <v>8119457726993</v>
      </c>
      <c r="G2355" s="75" t="str">
        <f>"১৩০৩০৬১৮০০০৪"</f>
        <v>১৩০৩০৬১৮০০০৪</v>
      </c>
      <c r="H2355" s="75" t="s">
        <v>322</v>
      </c>
      <c r="I2355" s="75" t="s">
        <v>322</v>
      </c>
      <c r="J2355" s="5"/>
    </row>
    <row r="2356" spans="1:10" x14ac:dyDescent="0.25">
      <c r="A2356" s="39">
        <v>2355</v>
      </c>
      <c r="B2356" s="3" t="s">
        <v>377</v>
      </c>
      <c r="C2356" s="75" t="s">
        <v>3126</v>
      </c>
      <c r="D2356" s="75" t="s">
        <v>375</v>
      </c>
      <c r="E2356" s="75" t="str">
        <f t="shared" si="48"/>
        <v>০</v>
      </c>
      <c r="F2356" s="22" t="str">
        <f>"8119457177327"</f>
        <v>8119457177327</v>
      </c>
      <c r="G2356" s="75" t="str">
        <f>"১৩০৩০৬১৮০০০৩"</f>
        <v>১৩০৩০৬১৮০০০৩</v>
      </c>
      <c r="H2356" s="75" t="s">
        <v>362</v>
      </c>
      <c r="I2356" s="75" t="s">
        <v>362</v>
      </c>
      <c r="J2356" s="5"/>
    </row>
    <row r="2357" spans="1:10" x14ac:dyDescent="0.25">
      <c r="A2357" s="39">
        <v>2356</v>
      </c>
      <c r="B2357" s="3" t="s">
        <v>1673</v>
      </c>
      <c r="C2357" s="75" t="s">
        <v>3127</v>
      </c>
      <c r="D2357" s="75" t="s">
        <v>375</v>
      </c>
      <c r="E2357" s="75" t="str">
        <f t="shared" si="48"/>
        <v>০</v>
      </c>
      <c r="F2357" s="22" t="str">
        <f>"8119457146188"</f>
        <v>8119457146188</v>
      </c>
      <c r="G2357" s="75" t="str">
        <f>"১৩০৩০৬১৮০০০২"</f>
        <v>১৩০৩০৬১৮০০০২</v>
      </c>
      <c r="H2357" s="75" t="s">
        <v>385</v>
      </c>
      <c r="I2357" s="75" t="s">
        <v>385</v>
      </c>
      <c r="J2357" s="5"/>
    </row>
    <row r="2358" spans="1:10" x14ac:dyDescent="0.25">
      <c r="A2358" s="39">
        <v>2357</v>
      </c>
      <c r="B2358" s="3" t="s">
        <v>3128</v>
      </c>
      <c r="C2358" s="75" t="s">
        <v>1332</v>
      </c>
      <c r="D2358" s="75" t="s">
        <v>375</v>
      </c>
      <c r="E2358" s="75" t="str">
        <f t="shared" si="48"/>
        <v>০</v>
      </c>
      <c r="F2358" s="22" t="str">
        <f>"8119457773965"</f>
        <v>8119457773965</v>
      </c>
      <c r="G2358" s="75" t="str">
        <f>"১৩০৩০৬১৮০০০১"</f>
        <v>১৩০৩০৬১৮০০০১</v>
      </c>
      <c r="H2358" s="75" t="s">
        <v>392</v>
      </c>
      <c r="I2358" s="75" t="s">
        <v>392</v>
      </c>
      <c r="J2358" s="5"/>
    </row>
    <row r="2359" spans="1:10" x14ac:dyDescent="0.25">
      <c r="A2359" s="39">
        <v>2358</v>
      </c>
      <c r="B2359" s="3" t="s">
        <v>1347</v>
      </c>
      <c r="C2359" s="75" t="s">
        <v>1348</v>
      </c>
      <c r="D2359" s="75" t="s">
        <v>3139</v>
      </c>
      <c r="E2359" s="75" t="str">
        <f t="shared" si="48"/>
        <v>০</v>
      </c>
      <c r="F2359" s="22" t="str">
        <f>"8119457832593"</f>
        <v>8119457832593</v>
      </c>
      <c r="G2359" s="75" t="str">
        <f>"১৩০৩০৬১৮১৬৬৬"</f>
        <v>১৩০৩০৬১৮১৬৬৬</v>
      </c>
      <c r="H2359" s="75" t="s">
        <v>322</v>
      </c>
      <c r="I2359" s="75" t="s">
        <v>322</v>
      </c>
      <c r="J2359" s="5"/>
    </row>
    <row r="2360" spans="1:10" x14ac:dyDescent="0.25">
      <c r="A2360" s="39">
        <v>2359</v>
      </c>
      <c r="B2360" s="3" t="s">
        <v>1349</v>
      </c>
      <c r="C2360" s="75" t="s">
        <v>1350</v>
      </c>
      <c r="D2360" s="75" t="s">
        <v>1351</v>
      </c>
      <c r="E2360" s="75" t="str">
        <f t="shared" si="48"/>
        <v>০</v>
      </c>
      <c r="F2360" s="22" t="str">
        <f>"8119457830653"</f>
        <v>8119457830653</v>
      </c>
      <c r="G2360" s="75" t="str">
        <f>"১৩০৩০৬১৮১৬৬৫"</f>
        <v>১৩০৩০৬১৮১৬৬৫</v>
      </c>
      <c r="H2360" s="75" t="s">
        <v>371</v>
      </c>
      <c r="I2360" s="75" t="s">
        <v>371</v>
      </c>
      <c r="J2360" s="5"/>
    </row>
    <row r="2361" spans="1:10" x14ac:dyDescent="0.25">
      <c r="A2361" s="39">
        <v>2360</v>
      </c>
      <c r="B2361" s="3" t="s">
        <v>1352</v>
      </c>
      <c r="C2361" s="75" t="s">
        <v>1353</v>
      </c>
      <c r="D2361" s="75" t="s">
        <v>1354</v>
      </c>
      <c r="E2361" s="75" t="str">
        <f t="shared" si="48"/>
        <v>০</v>
      </c>
      <c r="F2361" s="22" t="str">
        <f>"8119457832810"</f>
        <v>8119457832810</v>
      </c>
      <c r="G2361" s="75" t="str">
        <f>"১৩০৩০৬১৮১৬৬৪"</f>
        <v>১৩০৩০৬১৮১৬৬৪</v>
      </c>
      <c r="H2361" s="75" t="s">
        <v>329</v>
      </c>
      <c r="I2361" s="75" t="s">
        <v>329</v>
      </c>
      <c r="J2361" s="5"/>
    </row>
    <row r="2362" spans="1:10" x14ac:dyDescent="0.25">
      <c r="A2362" s="39">
        <v>2361</v>
      </c>
      <c r="B2362" s="3" t="s">
        <v>1355</v>
      </c>
      <c r="C2362" s="75" t="s">
        <v>1356</v>
      </c>
      <c r="D2362" s="75" t="s">
        <v>1354</v>
      </c>
      <c r="E2362" s="75" t="str">
        <f t="shared" si="48"/>
        <v>০</v>
      </c>
      <c r="F2362" s="22" t="str">
        <f>"8119457833169"</f>
        <v>8119457833169</v>
      </c>
      <c r="G2362" s="75" t="str">
        <f>"১৩০৩০৬১৮১৬৬৩"</f>
        <v>১৩০৩০৬১৮১৬৬৩</v>
      </c>
      <c r="H2362" s="75" t="s">
        <v>319</v>
      </c>
      <c r="I2362" s="75" t="s">
        <v>319</v>
      </c>
      <c r="J2362" s="5"/>
    </row>
    <row r="2363" spans="1:10" x14ac:dyDescent="0.25">
      <c r="A2363" s="39">
        <v>2362</v>
      </c>
      <c r="B2363" s="3" t="s">
        <v>706</v>
      </c>
      <c r="C2363" s="75" t="s">
        <v>1357</v>
      </c>
      <c r="D2363" s="75" t="s">
        <v>1354</v>
      </c>
      <c r="E2363" s="75" t="str">
        <f t="shared" si="48"/>
        <v>০</v>
      </c>
      <c r="F2363" s="22" t="str">
        <f>"8119457832749"</f>
        <v>8119457832749</v>
      </c>
      <c r="G2363" s="75" t="str">
        <f>"১৩০৩০৬১৮১৬৬২"</f>
        <v>১৩০৩০৬১৮১৬৬২</v>
      </c>
      <c r="H2363" s="75" t="s">
        <v>319</v>
      </c>
      <c r="I2363" s="75" t="s">
        <v>319</v>
      </c>
      <c r="J2363" s="5"/>
    </row>
    <row r="2364" spans="1:10" x14ac:dyDescent="0.25">
      <c r="A2364" s="39">
        <v>2363</v>
      </c>
      <c r="B2364" s="3" t="s">
        <v>667</v>
      </c>
      <c r="C2364" s="75" t="s">
        <v>1348</v>
      </c>
      <c r="D2364" s="75" t="s">
        <v>3139</v>
      </c>
      <c r="E2364" s="75" t="str">
        <f t="shared" si="48"/>
        <v>০</v>
      </c>
      <c r="F2364" s="22" t="str">
        <f>"8119457832610"</f>
        <v>8119457832610</v>
      </c>
      <c r="G2364" s="75" t="str">
        <f>"১৩০৩০৬১৮১৬৬১"</f>
        <v>১৩০৩০৬১৮১৬৬১</v>
      </c>
      <c r="H2364" s="75" t="s">
        <v>319</v>
      </c>
      <c r="I2364" s="75" t="s">
        <v>319</v>
      </c>
      <c r="J2364" s="5"/>
    </row>
    <row r="2365" spans="1:10" x14ac:dyDescent="0.25">
      <c r="A2365" s="39">
        <v>2364</v>
      </c>
      <c r="B2365" s="3" t="s">
        <v>1358</v>
      </c>
      <c r="C2365" s="75" t="s">
        <v>1359</v>
      </c>
      <c r="D2365" s="75" t="s">
        <v>1360</v>
      </c>
      <c r="E2365" s="75" t="str">
        <f t="shared" si="48"/>
        <v>০</v>
      </c>
      <c r="F2365" s="22" t="str">
        <f>"8119457713903"</f>
        <v>8119457713903</v>
      </c>
      <c r="G2365" s="75" t="str">
        <f>"১৩০৩০৬১৮১৬৬০"</f>
        <v>১৩০৩০৬১৮১৬৬০</v>
      </c>
      <c r="H2365" s="75" t="s">
        <v>322</v>
      </c>
      <c r="I2365" s="75" t="s">
        <v>322</v>
      </c>
      <c r="J2365" s="5"/>
    </row>
    <row r="2366" spans="1:10" x14ac:dyDescent="0.25">
      <c r="A2366" s="39">
        <v>2365</v>
      </c>
      <c r="B2366" s="3" t="s">
        <v>1361</v>
      </c>
      <c r="C2366" s="75" t="s">
        <v>1362</v>
      </c>
      <c r="D2366" s="75" t="s">
        <v>1363</v>
      </c>
      <c r="E2366" s="75" t="str">
        <f t="shared" si="48"/>
        <v>০</v>
      </c>
      <c r="F2366" s="22" t="str">
        <f>"8119457832342"</f>
        <v>8119457832342</v>
      </c>
      <c r="G2366" s="75" t="str">
        <f>"১৩০৩০৬১৮১৬৫৯"</f>
        <v>১৩০৩০৬১৮১৬৫৯</v>
      </c>
      <c r="H2366" s="75" t="s">
        <v>371</v>
      </c>
      <c r="I2366" s="75" t="s">
        <v>371</v>
      </c>
      <c r="J2366" s="5"/>
    </row>
    <row r="2367" spans="1:10" x14ac:dyDescent="0.25">
      <c r="A2367" s="39">
        <v>2366</v>
      </c>
      <c r="B2367" s="3" t="s">
        <v>1364</v>
      </c>
      <c r="C2367" s="75" t="s">
        <v>1365</v>
      </c>
      <c r="D2367" s="75" t="s">
        <v>1363</v>
      </c>
      <c r="E2367" s="75" t="str">
        <f t="shared" si="48"/>
        <v>০</v>
      </c>
      <c r="F2367" s="22" t="str">
        <f>"8119457832207"</f>
        <v>8119457832207</v>
      </c>
      <c r="G2367" s="75" t="str">
        <f>"১৩০৩০৬১৮১৬৫৮"</f>
        <v>১৩০৩০৬১৮১৬৫৮</v>
      </c>
      <c r="H2367" s="75" t="s">
        <v>319</v>
      </c>
      <c r="I2367" s="75" t="s">
        <v>319</v>
      </c>
      <c r="J2367" s="5"/>
    </row>
    <row r="2368" spans="1:10" x14ac:dyDescent="0.25">
      <c r="A2368" s="39">
        <v>2367</v>
      </c>
      <c r="B2368" s="3" t="s">
        <v>1366</v>
      </c>
      <c r="C2368" s="75" t="s">
        <v>1367</v>
      </c>
      <c r="D2368" s="75" t="s">
        <v>1360</v>
      </c>
      <c r="E2368" s="75" t="str">
        <f t="shared" si="48"/>
        <v>০</v>
      </c>
      <c r="F2368" s="22" t="str">
        <f>"8119457713439"</f>
        <v>8119457713439</v>
      </c>
      <c r="G2368" s="75" t="str">
        <f>"১৩০৩০৬১৮১৬৫৭"</f>
        <v>১৩০৩০৬১৮১৬৫৭</v>
      </c>
      <c r="H2368" s="75" t="s">
        <v>322</v>
      </c>
      <c r="I2368" s="75" t="s">
        <v>322</v>
      </c>
      <c r="J2368" s="5"/>
    </row>
    <row r="2369" spans="1:10" x14ac:dyDescent="0.25">
      <c r="A2369" s="39">
        <v>2368</v>
      </c>
      <c r="B2369" s="3" t="s">
        <v>473</v>
      </c>
      <c r="C2369" s="75" t="s">
        <v>1331</v>
      </c>
      <c r="D2369" s="75" t="s">
        <v>1360</v>
      </c>
      <c r="E2369" s="75" t="str">
        <f t="shared" si="48"/>
        <v>০</v>
      </c>
      <c r="F2369" s="22" t="str">
        <f>"8119457713811"</f>
        <v>8119457713811</v>
      </c>
      <c r="G2369" s="75" t="str">
        <f>"১৩০৩০৬১৮১৬৫৬"</f>
        <v>১৩০৩০৬১৮১৬৫৬</v>
      </c>
      <c r="H2369" s="75" t="s">
        <v>319</v>
      </c>
      <c r="I2369" s="75" t="s">
        <v>319</v>
      </c>
      <c r="J2369" s="5"/>
    </row>
    <row r="2370" spans="1:10" x14ac:dyDescent="0.25">
      <c r="A2370" s="39">
        <v>2369</v>
      </c>
      <c r="B2370" s="3" t="s">
        <v>395</v>
      </c>
      <c r="C2370" s="75" t="s">
        <v>1368</v>
      </c>
      <c r="D2370" s="75" t="s">
        <v>1360</v>
      </c>
      <c r="E2370" s="75" t="str">
        <f t="shared" si="48"/>
        <v>০</v>
      </c>
      <c r="F2370" s="22" t="str">
        <f>"8119457713106"</f>
        <v>8119457713106</v>
      </c>
      <c r="G2370" s="75" t="str">
        <f>"১৩০৩০৬১৮১৬৫৫"</f>
        <v>১৩০৩০৬১৮১৬৫৫</v>
      </c>
      <c r="H2370" s="75" t="s">
        <v>319</v>
      </c>
      <c r="I2370" s="75" t="s">
        <v>319</v>
      </c>
      <c r="J2370" s="5"/>
    </row>
    <row r="2371" spans="1:10" x14ac:dyDescent="0.25">
      <c r="A2371" s="39">
        <v>2370</v>
      </c>
      <c r="B2371" s="3" t="s">
        <v>482</v>
      </c>
      <c r="C2371" s="75" t="s">
        <v>1369</v>
      </c>
      <c r="D2371" s="75" t="s">
        <v>1360</v>
      </c>
      <c r="E2371" s="75" t="str">
        <f t="shared" si="48"/>
        <v>০</v>
      </c>
      <c r="F2371" s="22" t="str">
        <f>"8119457713161"</f>
        <v>8119457713161</v>
      </c>
      <c r="G2371" s="75" t="str">
        <f>"১৩০৩০৬১৮১৬৫৪"</f>
        <v>১৩০৩০৬১৮১৬৫৪</v>
      </c>
      <c r="H2371" s="75" t="s">
        <v>322</v>
      </c>
      <c r="I2371" s="75" t="s">
        <v>322</v>
      </c>
      <c r="J2371" s="5"/>
    </row>
    <row r="2372" spans="1:10" x14ac:dyDescent="0.25">
      <c r="A2372" s="39">
        <v>2371</v>
      </c>
      <c r="B2372" s="3" t="s">
        <v>601</v>
      </c>
      <c r="C2372" s="75" t="s">
        <v>557</v>
      </c>
      <c r="D2372" s="75" t="s">
        <v>1370</v>
      </c>
      <c r="E2372" s="75" t="str">
        <f t="shared" si="48"/>
        <v>০</v>
      </c>
      <c r="F2372" s="22" t="str">
        <f>"8119457815005"</f>
        <v>8119457815005</v>
      </c>
      <c r="G2372" s="75" t="str">
        <f>"১৩০৩০৬১৮১৬৫৩"</f>
        <v>১৩০৩০৬১৮১৬৫৩</v>
      </c>
      <c r="H2372" s="75" t="s">
        <v>371</v>
      </c>
      <c r="I2372" s="75" t="s">
        <v>371</v>
      </c>
      <c r="J2372" s="5"/>
    </row>
    <row r="2373" spans="1:10" x14ac:dyDescent="0.25">
      <c r="A2373" s="39">
        <v>2372</v>
      </c>
      <c r="B2373" s="3" t="s">
        <v>890</v>
      </c>
      <c r="C2373" s="75" t="s">
        <v>1371</v>
      </c>
      <c r="D2373" s="75" t="s">
        <v>1372</v>
      </c>
      <c r="E2373" s="75" t="str">
        <f t="shared" si="48"/>
        <v>০</v>
      </c>
      <c r="F2373" s="22" t="str">
        <f>"8119457813639"</f>
        <v>8119457813639</v>
      </c>
      <c r="G2373" s="75" t="str">
        <f>"১৩০৩০৬১৮১৬৫২"</f>
        <v>১৩০৩০৬১৮১৬৫২</v>
      </c>
      <c r="H2373" s="75" t="s">
        <v>371</v>
      </c>
      <c r="I2373" s="75" t="s">
        <v>371</v>
      </c>
      <c r="J2373" s="5"/>
    </row>
    <row r="2374" spans="1:10" x14ac:dyDescent="0.25">
      <c r="A2374" s="39">
        <v>2373</v>
      </c>
      <c r="B2374" s="3" t="s">
        <v>1373</v>
      </c>
      <c r="C2374" s="75" t="s">
        <v>1374</v>
      </c>
      <c r="D2374" s="75" t="s">
        <v>1372</v>
      </c>
      <c r="E2374" s="75" t="str">
        <f t="shared" si="48"/>
        <v>০</v>
      </c>
      <c r="F2374" s="22" t="str">
        <f>"8119457000278"</f>
        <v>8119457000278</v>
      </c>
      <c r="G2374" s="75" t="str">
        <f>"১৩০৩০৬১৮১৬৫১"</f>
        <v>১৩০৩০৬১৮১৬৫১</v>
      </c>
      <c r="H2374" s="75" t="s">
        <v>315</v>
      </c>
      <c r="I2374" s="75" t="s">
        <v>315</v>
      </c>
      <c r="J2374" s="5"/>
    </row>
    <row r="2375" spans="1:10" x14ac:dyDescent="0.25">
      <c r="A2375" s="39">
        <v>2374</v>
      </c>
      <c r="B2375" s="3" t="s">
        <v>3140</v>
      </c>
      <c r="C2375" s="75" t="s">
        <v>1375</v>
      </c>
      <c r="D2375" s="75" t="s">
        <v>1370</v>
      </c>
      <c r="E2375" s="75" t="str">
        <f t="shared" si="48"/>
        <v>০</v>
      </c>
      <c r="F2375" s="22" t="str">
        <f>"8119457818652"</f>
        <v>8119457818652</v>
      </c>
      <c r="G2375" s="75" t="str">
        <f>"১৩০৩০৬১৮১৬৫০"</f>
        <v>১৩০৩০৬১৮১৬৫০</v>
      </c>
      <c r="H2375" s="75" t="s">
        <v>319</v>
      </c>
      <c r="I2375" s="75" t="s">
        <v>319</v>
      </c>
      <c r="J2375" s="5"/>
    </row>
    <row r="2376" spans="1:10" x14ac:dyDescent="0.25">
      <c r="A2376" s="39">
        <v>2375</v>
      </c>
      <c r="B2376" s="3" t="s">
        <v>523</v>
      </c>
      <c r="C2376" s="75" t="s">
        <v>1376</v>
      </c>
      <c r="D2376" s="75" t="s">
        <v>1377</v>
      </c>
      <c r="E2376" s="75" t="str">
        <f t="shared" si="48"/>
        <v>০</v>
      </c>
      <c r="F2376" s="22" t="str">
        <f>"8119457830003"</f>
        <v>8119457830003</v>
      </c>
      <c r="G2376" s="75" t="str">
        <f>"১৩০৩০৬১৮১৬৪৯"</f>
        <v>১৩০৩০৬১৮১৬৪৯</v>
      </c>
      <c r="H2376" s="75" t="s">
        <v>319</v>
      </c>
      <c r="I2376" s="75" t="s">
        <v>319</v>
      </c>
      <c r="J2376" s="5"/>
    </row>
    <row r="2377" spans="1:10" x14ac:dyDescent="0.25">
      <c r="A2377" s="39">
        <v>2376</v>
      </c>
      <c r="B2377" s="3" t="s">
        <v>3141</v>
      </c>
      <c r="C2377" s="75" t="s">
        <v>1378</v>
      </c>
      <c r="D2377" s="75" t="s">
        <v>1377</v>
      </c>
      <c r="E2377" s="75" t="str">
        <f t="shared" si="48"/>
        <v>০</v>
      </c>
      <c r="F2377" s="22" t="str">
        <f>"8119457830013"</f>
        <v>8119457830013</v>
      </c>
      <c r="G2377" s="75" t="str">
        <f>"১৩০৩০৬১৮১৬৪৮"</f>
        <v>১৩০৩০৬১৮১৬৪৮</v>
      </c>
      <c r="H2377" s="75" t="s">
        <v>371</v>
      </c>
      <c r="I2377" s="75" t="s">
        <v>371</v>
      </c>
      <c r="J2377" s="5"/>
    </row>
    <row r="2378" spans="1:10" x14ac:dyDescent="0.25">
      <c r="A2378" s="39">
        <v>2377</v>
      </c>
      <c r="B2378" s="3" t="s">
        <v>2977</v>
      </c>
      <c r="C2378" s="75" t="s">
        <v>1379</v>
      </c>
      <c r="D2378" s="75" t="s">
        <v>1380</v>
      </c>
      <c r="E2378" s="75" t="str">
        <f t="shared" si="48"/>
        <v>০</v>
      </c>
      <c r="F2378" s="22" t="str">
        <f>"81194578327017"</f>
        <v>81194578327017</v>
      </c>
      <c r="G2378" s="75" t="str">
        <f>"১৩০৩০৬১৮১৬৪৭"</f>
        <v>১৩০৩০৬১৮১৬৪৭</v>
      </c>
      <c r="H2378" s="75" t="s">
        <v>329</v>
      </c>
      <c r="I2378" s="75" t="s">
        <v>329</v>
      </c>
      <c r="J2378" s="5"/>
    </row>
    <row r="2379" spans="1:10" x14ac:dyDescent="0.25">
      <c r="A2379" s="39">
        <v>2378</v>
      </c>
      <c r="B2379" s="3" t="s">
        <v>545</v>
      </c>
      <c r="C2379" s="75" t="s">
        <v>490</v>
      </c>
      <c r="D2379" s="75" t="s">
        <v>1354</v>
      </c>
      <c r="E2379" s="75" t="str">
        <f t="shared" si="48"/>
        <v>০</v>
      </c>
      <c r="F2379" s="22" t="str">
        <f>"8119457832706"</f>
        <v>8119457832706</v>
      </c>
      <c r="G2379" s="75" t="str">
        <f>"১৩০৩০৬১৮১৬৪৬"</f>
        <v>১৩০৩০৬১৮১৬৪৬</v>
      </c>
      <c r="H2379" s="75" t="s">
        <v>322</v>
      </c>
      <c r="I2379" s="75" t="s">
        <v>322</v>
      </c>
      <c r="J2379" s="5"/>
    </row>
    <row r="2380" spans="1:10" x14ac:dyDescent="0.25">
      <c r="A2380" s="39">
        <v>2379</v>
      </c>
      <c r="B2380" s="3" t="s">
        <v>1172</v>
      </c>
      <c r="C2380" s="75" t="s">
        <v>1381</v>
      </c>
      <c r="D2380" s="75" t="s">
        <v>1354</v>
      </c>
      <c r="E2380" s="75" t="str">
        <f t="shared" si="48"/>
        <v>০</v>
      </c>
      <c r="F2380" s="22" t="str">
        <f>"8119457833252"</f>
        <v>8119457833252</v>
      </c>
      <c r="G2380" s="75" t="str">
        <f>"১৩০৩০৬১৮১৬৪৫"</f>
        <v>১৩০৩০৬১৮১৬৪৫</v>
      </c>
      <c r="H2380" s="75" t="s">
        <v>319</v>
      </c>
      <c r="I2380" s="75" t="s">
        <v>319</v>
      </c>
      <c r="J2380" s="5"/>
    </row>
    <row r="2381" spans="1:10" x14ac:dyDescent="0.25">
      <c r="A2381" s="39">
        <v>2380</v>
      </c>
      <c r="B2381" s="3" t="s">
        <v>1382</v>
      </c>
      <c r="C2381" s="75" t="s">
        <v>1383</v>
      </c>
      <c r="D2381" s="75" t="s">
        <v>1384</v>
      </c>
      <c r="E2381" s="75" t="str">
        <f t="shared" si="48"/>
        <v>০</v>
      </c>
      <c r="F2381" s="22" t="str">
        <f>"8119457832040"</f>
        <v>8119457832040</v>
      </c>
      <c r="G2381" s="75" t="str">
        <f>"১৩০৩০৬১৮১৬৪৪"</f>
        <v>১৩০৩০৬১৮১৬৪৪</v>
      </c>
      <c r="H2381" s="75" t="s">
        <v>330</v>
      </c>
      <c r="I2381" s="75" t="s">
        <v>330</v>
      </c>
      <c r="J2381" s="5"/>
    </row>
    <row r="2382" spans="1:10" x14ac:dyDescent="0.25">
      <c r="A2382" s="39">
        <v>2381</v>
      </c>
      <c r="B2382" s="3" t="s">
        <v>377</v>
      </c>
      <c r="C2382" s="75" t="s">
        <v>1385</v>
      </c>
      <c r="D2382" s="75" t="s">
        <v>1384</v>
      </c>
      <c r="E2382" s="75" t="str">
        <f t="shared" si="48"/>
        <v>০</v>
      </c>
      <c r="F2382" s="22" t="str">
        <f>"8119457830899"</f>
        <v>8119457830899</v>
      </c>
      <c r="G2382" s="75" t="str">
        <f>"১৩০৩০৬১৮১৬৪৩"</f>
        <v>১৩০৩০৬১৮১৬৪৩</v>
      </c>
      <c r="H2382" s="75" t="s">
        <v>329</v>
      </c>
      <c r="I2382" s="75" t="s">
        <v>329</v>
      </c>
      <c r="J2382" s="5"/>
    </row>
    <row r="2383" spans="1:10" x14ac:dyDescent="0.25">
      <c r="A2383" s="39">
        <v>2382</v>
      </c>
      <c r="B2383" s="3" t="s">
        <v>1386</v>
      </c>
      <c r="C2383" s="75" t="s">
        <v>1387</v>
      </c>
      <c r="D2383" s="75" t="s">
        <v>1351</v>
      </c>
      <c r="E2383" s="75" t="str">
        <f t="shared" si="48"/>
        <v>০</v>
      </c>
      <c r="F2383" s="22" t="str">
        <f>"8119457830596"</f>
        <v>8119457830596</v>
      </c>
      <c r="G2383" s="75" t="str">
        <f>"১৩০৩০৬১৮১৬৪২"</f>
        <v>১৩০৩০৬১৮১৬৪২</v>
      </c>
      <c r="H2383" s="75" t="s">
        <v>322</v>
      </c>
      <c r="I2383" s="75" t="s">
        <v>322</v>
      </c>
      <c r="J2383" s="5"/>
    </row>
    <row r="2384" spans="1:10" x14ac:dyDescent="0.25">
      <c r="A2384" s="39">
        <v>2383</v>
      </c>
      <c r="B2384" s="3" t="s">
        <v>1388</v>
      </c>
      <c r="C2384" s="75" t="s">
        <v>1389</v>
      </c>
      <c r="D2384" s="75" t="s">
        <v>1380</v>
      </c>
      <c r="E2384" s="75" t="str">
        <f t="shared" si="48"/>
        <v>০</v>
      </c>
      <c r="F2384" s="22" t="str">
        <f>"8119457819981"</f>
        <v>8119457819981</v>
      </c>
      <c r="G2384" s="75" t="str">
        <f>"১৩০৩০৬১৮১৬৪১"</f>
        <v>১৩০৩০৬১৮১৬৪১</v>
      </c>
      <c r="H2384" s="75" t="s">
        <v>319</v>
      </c>
      <c r="I2384" s="75" t="s">
        <v>319</v>
      </c>
      <c r="J2384" s="5"/>
    </row>
    <row r="2385" spans="1:10" x14ac:dyDescent="0.25">
      <c r="A2385" s="39">
        <v>2384</v>
      </c>
      <c r="B2385" s="3" t="s">
        <v>1390</v>
      </c>
      <c r="C2385" s="75" t="s">
        <v>1391</v>
      </c>
      <c r="D2385" s="75" t="s">
        <v>1354</v>
      </c>
      <c r="E2385" s="75" t="str">
        <f t="shared" si="48"/>
        <v>০</v>
      </c>
      <c r="F2385" s="22" t="str">
        <f>"8119457833196"</f>
        <v>8119457833196</v>
      </c>
      <c r="G2385" s="75" t="str">
        <f>"১৩০৩০৬১৮১৬৪০"</f>
        <v>১৩০৩০৬১৮১৬৪০</v>
      </c>
      <c r="H2385" s="75" t="s">
        <v>456</v>
      </c>
      <c r="I2385" s="75" t="s">
        <v>456</v>
      </c>
      <c r="J2385" s="5"/>
    </row>
    <row r="2386" spans="1:10" x14ac:dyDescent="0.25">
      <c r="A2386" s="39">
        <v>2385</v>
      </c>
      <c r="B2386" s="3" t="s">
        <v>1392</v>
      </c>
      <c r="C2386" s="75" t="s">
        <v>1393</v>
      </c>
      <c r="D2386" s="75" t="s">
        <v>1363</v>
      </c>
      <c r="E2386" s="75" t="str">
        <f t="shared" si="48"/>
        <v>০</v>
      </c>
      <c r="F2386" s="22" t="str">
        <f>"8119457832245"</f>
        <v>8119457832245</v>
      </c>
      <c r="G2386" s="75" t="str">
        <f>"১৩০৩০৬১৮১৬৩৯"</f>
        <v>১৩০৩০৬১৮১৬৩৯</v>
      </c>
      <c r="H2386" s="75" t="s">
        <v>1394</v>
      </c>
      <c r="I2386" s="75" t="s">
        <v>1394</v>
      </c>
      <c r="J2386" s="5"/>
    </row>
    <row r="2387" spans="1:10" x14ac:dyDescent="0.25">
      <c r="A2387" s="39">
        <v>2386</v>
      </c>
      <c r="B2387" s="3" t="s">
        <v>1395</v>
      </c>
      <c r="C2387" s="75" t="s">
        <v>3142</v>
      </c>
      <c r="D2387" s="75" t="s">
        <v>1354</v>
      </c>
      <c r="E2387" s="75" t="str">
        <f t="shared" si="48"/>
        <v>০</v>
      </c>
      <c r="F2387" s="22" t="str">
        <f>"8119457000243"</f>
        <v>8119457000243</v>
      </c>
      <c r="G2387" s="75" t="str">
        <f>"১৩০৩০৬১৮১৬৩৮"</f>
        <v>১৩০৩০৬১৮১৬৩৮</v>
      </c>
      <c r="H2387" s="75" t="s">
        <v>319</v>
      </c>
      <c r="I2387" s="75" t="s">
        <v>319</v>
      </c>
      <c r="J2387" s="5"/>
    </row>
    <row r="2388" spans="1:10" x14ac:dyDescent="0.25">
      <c r="A2388" s="39">
        <v>2387</v>
      </c>
      <c r="B2388" s="3" t="s">
        <v>1396</v>
      </c>
      <c r="C2388" s="75" t="s">
        <v>881</v>
      </c>
      <c r="D2388" s="75" t="s">
        <v>1360</v>
      </c>
      <c r="E2388" s="75" t="str">
        <f t="shared" si="48"/>
        <v>০</v>
      </c>
      <c r="F2388" s="22" t="str">
        <f>"8119457713014"</f>
        <v>8119457713014</v>
      </c>
      <c r="G2388" s="75" t="str">
        <f>"১৩০৩০৬১৮১৬৩৭"</f>
        <v>১৩০৩০৬১৮১৬৩৭</v>
      </c>
      <c r="H2388" s="75" t="s">
        <v>456</v>
      </c>
      <c r="I2388" s="75" t="s">
        <v>456</v>
      </c>
      <c r="J2388" s="5"/>
    </row>
    <row r="2389" spans="1:10" x14ac:dyDescent="0.25">
      <c r="A2389" s="39">
        <v>2388</v>
      </c>
      <c r="B2389" s="3" t="s">
        <v>679</v>
      </c>
      <c r="C2389" s="75" t="s">
        <v>916</v>
      </c>
      <c r="D2389" s="75" t="s">
        <v>1360</v>
      </c>
      <c r="E2389" s="75" t="str">
        <f t="shared" si="48"/>
        <v>০</v>
      </c>
      <c r="F2389" s="22" t="str">
        <f>"8119457713643"</f>
        <v>8119457713643</v>
      </c>
      <c r="G2389" s="75" t="str">
        <f>"১৩০৩০৬১৮১৬৩৬"</f>
        <v>১৩০৩০৬১৮১৬৩৬</v>
      </c>
      <c r="H2389" s="75" t="s">
        <v>330</v>
      </c>
      <c r="I2389" s="75" t="s">
        <v>330</v>
      </c>
      <c r="J2389" s="5"/>
    </row>
    <row r="2390" spans="1:10" x14ac:dyDescent="0.25">
      <c r="A2390" s="39">
        <v>2389</v>
      </c>
      <c r="B2390" s="3" t="s">
        <v>558</v>
      </c>
      <c r="C2390" s="75" t="s">
        <v>1397</v>
      </c>
      <c r="D2390" s="75" t="s">
        <v>1377</v>
      </c>
      <c r="E2390" s="75" t="str">
        <f t="shared" si="48"/>
        <v>০</v>
      </c>
      <c r="F2390" s="22" t="str">
        <f>"8119457830552"</f>
        <v>8119457830552</v>
      </c>
      <c r="G2390" s="75" t="str">
        <f>"১৩০৩০৬১৮১৬৩৫"</f>
        <v>১৩০৩০৬১৮১৬৩৫</v>
      </c>
      <c r="H2390" s="75" t="s">
        <v>319</v>
      </c>
      <c r="I2390" s="75" t="s">
        <v>319</v>
      </c>
      <c r="J2390" s="5"/>
    </row>
    <row r="2391" spans="1:10" x14ac:dyDescent="0.25">
      <c r="A2391" s="39">
        <v>2390</v>
      </c>
      <c r="B2391" s="3" t="s">
        <v>1398</v>
      </c>
      <c r="C2391" s="75" t="s">
        <v>1399</v>
      </c>
      <c r="D2391" s="75" t="s">
        <v>1377</v>
      </c>
      <c r="E2391" s="75" t="str">
        <f t="shared" si="48"/>
        <v>০</v>
      </c>
      <c r="F2391" s="22" t="str">
        <f>"8119457832068"</f>
        <v>8119457832068</v>
      </c>
      <c r="G2391" s="75" t="str">
        <f>"১৩০৩০৬১৮১৬৩৪"</f>
        <v>১৩০৩০৬১৮১৬৩৪</v>
      </c>
      <c r="H2391" s="75" t="s">
        <v>322</v>
      </c>
      <c r="I2391" s="75" t="s">
        <v>322</v>
      </c>
      <c r="J2391" s="5"/>
    </row>
    <row r="2392" spans="1:10" x14ac:dyDescent="0.25">
      <c r="A2392" s="39">
        <v>2391</v>
      </c>
      <c r="B2392" s="3" t="s">
        <v>1400</v>
      </c>
      <c r="C2392" s="75" t="s">
        <v>1401</v>
      </c>
      <c r="D2392" s="75" t="s">
        <v>1360</v>
      </c>
      <c r="E2392" s="75" t="str">
        <f t="shared" si="48"/>
        <v>০</v>
      </c>
      <c r="F2392" s="22" t="str">
        <f>"8119457713561"</f>
        <v>8119457713561</v>
      </c>
      <c r="G2392" s="75" t="str">
        <f>"১৩০৩০৬১৮১৬৩৩"</f>
        <v>১৩০৩০৬১৮১৬৩৩</v>
      </c>
      <c r="H2392" s="75" t="s">
        <v>364</v>
      </c>
      <c r="I2392" s="75" t="s">
        <v>364</v>
      </c>
      <c r="J2392" s="5"/>
    </row>
    <row r="2393" spans="1:10" x14ac:dyDescent="0.25">
      <c r="A2393" s="39">
        <v>2392</v>
      </c>
      <c r="B2393" s="3" t="s">
        <v>648</v>
      </c>
      <c r="C2393" s="75" t="s">
        <v>1402</v>
      </c>
      <c r="D2393" s="75" t="s">
        <v>1354</v>
      </c>
      <c r="E2393" s="75" t="str">
        <f t="shared" si="48"/>
        <v>০</v>
      </c>
      <c r="F2393" s="22" t="str">
        <f>"8119457832987"</f>
        <v>8119457832987</v>
      </c>
      <c r="G2393" s="75" t="str">
        <f>"১৩০৩০৬১৮১৬৩২"</f>
        <v>১৩০৩০৬১৮১৬৩২</v>
      </c>
      <c r="H2393" s="75" t="s">
        <v>319</v>
      </c>
      <c r="I2393" s="75" t="s">
        <v>319</v>
      </c>
      <c r="J2393" s="5"/>
    </row>
    <row r="2394" spans="1:10" x14ac:dyDescent="0.25">
      <c r="A2394" s="39">
        <v>2393</v>
      </c>
      <c r="B2394" s="3" t="s">
        <v>1403</v>
      </c>
      <c r="C2394" s="75" t="s">
        <v>1404</v>
      </c>
      <c r="D2394" s="75" t="s">
        <v>1377</v>
      </c>
      <c r="E2394" s="75" t="str">
        <f t="shared" si="48"/>
        <v>০</v>
      </c>
      <c r="F2394" s="22" t="str">
        <f>"8119457830556"</f>
        <v>8119457830556</v>
      </c>
      <c r="G2394" s="75" t="str">
        <f>"১৩০৩০৬১৮১৬৩১"</f>
        <v>১৩০৩০৬১৮১৬৩১</v>
      </c>
      <c r="H2394" s="75" t="s">
        <v>329</v>
      </c>
      <c r="I2394" s="75" t="s">
        <v>329</v>
      </c>
      <c r="J2394" s="5"/>
    </row>
    <row r="2395" spans="1:10" x14ac:dyDescent="0.25">
      <c r="A2395" s="39">
        <v>2394</v>
      </c>
      <c r="B2395" s="3" t="s">
        <v>1405</v>
      </c>
      <c r="C2395" s="75" t="s">
        <v>1406</v>
      </c>
      <c r="D2395" s="75" t="s">
        <v>1380</v>
      </c>
      <c r="E2395" s="75" t="str">
        <f t="shared" ref="E2395:E2447" si="49">"০"</f>
        <v>০</v>
      </c>
      <c r="F2395" s="22" t="str">
        <f>"8119457819929"</f>
        <v>8119457819929</v>
      </c>
      <c r="G2395" s="75" t="str">
        <f>"১৩০৩০৬১৮১৬৩০"</f>
        <v>১৩০৩০৬১৮১৬৩০</v>
      </c>
      <c r="H2395" s="75" t="s">
        <v>330</v>
      </c>
      <c r="I2395" s="75" t="s">
        <v>330</v>
      </c>
      <c r="J2395" s="5"/>
    </row>
    <row r="2396" spans="1:10" x14ac:dyDescent="0.25">
      <c r="A2396" s="39">
        <v>2395</v>
      </c>
      <c r="B2396" s="3" t="s">
        <v>664</v>
      </c>
      <c r="C2396" s="75" t="s">
        <v>1407</v>
      </c>
      <c r="D2396" s="75" t="s">
        <v>1384</v>
      </c>
      <c r="E2396" s="75" t="str">
        <f t="shared" si="49"/>
        <v>০</v>
      </c>
      <c r="F2396" s="22" t="str">
        <f>"8119457830879"</f>
        <v>8119457830879</v>
      </c>
      <c r="G2396" s="75" t="str">
        <f>"১৩০৩০৬১৮১৬২৯"</f>
        <v>১৩০৩০৬১৮১৬২৯</v>
      </c>
      <c r="H2396" s="75" t="s">
        <v>319</v>
      </c>
      <c r="I2396" s="75" t="s">
        <v>319</v>
      </c>
      <c r="J2396" s="5"/>
    </row>
    <row r="2397" spans="1:10" x14ac:dyDescent="0.25">
      <c r="A2397" s="39">
        <v>2396</v>
      </c>
      <c r="B2397" s="3" t="s">
        <v>1408</v>
      </c>
      <c r="C2397" s="75" t="s">
        <v>1409</v>
      </c>
      <c r="D2397" s="75" t="s">
        <v>1377</v>
      </c>
      <c r="E2397" s="75" t="str">
        <f t="shared" si="49"/>
        <v>০</v>
      </c>
      <c r="F2397" s="22" t="str">
        <f>"8119457830199"</f>
        <v>8119457830199</v>
      </c>
      <c r="G2397" s="75" t="str">
        <f>"১৩০৩০৬১৮১৬২৮"</f>
        <v>১৩০৩০৬১৮১৬২৮</v>
      </c>
      <c r="H2397" s="75" t="s">
        <v>319</v>
      </c>
      <c r="I2397" s="75" t="s">
        <v>319</v>
      </c>
      <c r="J2397" s="5"/>
    </row>
    <row r="2398" spans="1:10" x14ac:dyDescent="0.25">
      <c r="A2398" s="39">
        <v>2397</v>
      </c>
      <c r="B2398" s="3" t="s">
        <v>1410</v>
      </c>
      <c r="C2398" s="75" t="s">
        <v>1411</v>
      </c>
      <c r="D2398" s="75" t="s">
        <v>1351</v>
      </c>
      <c r="E2398" s="75" t="str">
        <f t="shared" si="49"/>
        <v>০</v>
      </c>
      <c r="F2398" s="22" t="str">
        <f>"8119457830582"</f>
        <v>8119457830582</v>
      </c>
      <c r="G2398" s="75" t="str">
        <f>"১৩০৩০৬১৮১৬২৭"</f>
        <v>১৩০৩০৬১৮১৬২৭</v>
      </c>
      <c r="H2398" s="75" t="s">
        <v>330</v>
      </c>
      <c r="I2398" s="75" t="s">
        <v>330</v>
      </c>
      <c r="J2398" s="5"/>
    </row>
    <row r="2399" spans="1:10" x14ac:dyDescent="0.25">
      <c r="A2399" s="39">
        <v>2398</v>
      </c>
      <c r="B2399" s="3" t="s">
        <v>1009</v>
      </c>
      <c r="C2399" s="75" t="s">
        <v>1412</v>
      </c>
      <c r="D2399" s="75" t="s">
        <v>1370</v>
      </c>
      <c r="E2399" s="75" t="str">
        <f t="shared" si="49"/>
        <v>০</v>
      </c>
      <c r="F2399" s="22" t="str">
        <f>"8119457814758"</f>
        <v>8119457814758</v>
      </c>
      <c r="G2399" s="75" t="str">
        <f>"১৩০৩০৬১৮১৬২৬"</f>
        <v>১৩০৩০৬১৮১৬২৬</v>
      </c>
      <c r="H2399" s="75" t="s">
        <v>319</v>
      </c>
      <c r="I2399" s="75" t="s">
        <v>319</v>
      </c>
      <c r="J2399" s="5"/>
    </row>
    <row r="2400" spans="1:10" x14ac:dyDescent="0.25">
      <c r="A2400" s="39">
        <v>2399</v>
      </c>
      <c r="B2400" s="3" t="s">
        <v>2953</v>
      </c>
      <c r="C2400" s="75" t="s">
        <v>1413</v>
      </c>
      <c r="D2400" s="75" t="s">
        <v>1370</v>
      </c>
      <c r="E2400" s="75" t="str">
        <f t="shared" si="49"/>
        <v>০</v>
      </c>
      <c r="F2400" s="22" t="str">
        <f>"8119457813572"</f>
        <v>8119457813572</v>
      </c>
      <c r="G2400" s="75" t="str">
        <f>"১৩০৩০৬১৮১৬২৫"</f>
        <v>১৩০৩০৬১৮১৬২৫</v>
      </c>
      <c r="H2400" s="75" t="s">
        <v>329</v>
      </c>
      <c r="I2400" s="75" t="s">
        <v>329</v>
      </c>
      <c r="J2400" s="5"/>
    </row>
    <row r="2401" spans="1:10" x14ac:dyDescent="0.25">
      <c r="A2401" s="39">
        <v>2400</v>
      </c>
      <c r="B2401" s="3" t="s">
        <v>1414</v>
      </c>
      <c r="C2401" s="75" t="s">
        <v>1413</v>
      </c>
      <c r="D2401" s="75" t="s">
        <v>1370</v>
      </c>
      <c r="E2401" s="75" t="str">
        <f t="shared" si="49"/>
        <v>০</v>
      </c>
      <c r="F2401" s="22" t="str">
        <f>"8119457813674"</f>
        <v>8119457813674</v>
      </c>
      <c r="G2401" s="75" t="str">
        <f>"১৩০৩০৬১৮১৬২৪"</f>
        <v>১৩০৩০৬১৮১৬২৪</v>
      </c>
      <c r="H2401" s="75" t="s">
        <v>315</v>
      </c>
      <c r="I2401" s="75" t="s">
        <v>315</v>
      </c>
      <c r="J2401" s="5"/>
    </row>
    <row r="2402" spans="1:10" x14ac:dyDescent="0.25">
      <c r="A2402" s="39">
        <v>2401</v>
      </c>
      <c r="B2402" s="3" t="s">
        <v>1415</v>
      </c>
      <c r="C2402" s="75" t="s">
        <v>1326</v>
      </c>
      <c r="D2402" s="75" t="s">
        <v>1370</v>
      </c>
      <c r="E2402" s="75" t="str">
        <f t="shared" si="49"/>
        <v>০</v>
      </c>
      <c r="F2402" s="22" t="str">
        <f>"8119457814677"</f>
        <v>8119457814677</v>
      </c>
      <c r="G2402" s="75" t="str">
        <f>"১৩০৩০৬১৮১৬২৩"</f>
        <v>১৩০৩০৬১৮১৬২৩</v>
      </c>
      <c r="H2402" s="75" t="s">
        <v>322</v>
      </c>
      <c r="I2402" s="75" t="s">
        <v>322</v>
      </c>
      <c r="J2402" s="5"/>
    </row>
    <row r="2403" spans="1:10" x14ac:dyDescent="0.25">
      <c r="A2403" s="39">
        <v>2402</v>
      </c>
      <c r="B2403" s="3" t="s">
        <v>884</v>
      </c>
      <c r="C2403" s="75" t="s">
        <v>1416</v>
      </c>
      <c r="D2403" s="75" t="s">
        <v>1370</v>
      </c>
      <c r="E2403" s="75" t="str">
        <f t="shared" si="49"/>
        <v>০</v>
      </c>
      <c r="F2403" s="22" t="str">
        <f>"8119457814253"</f>
        <v>8119457814253</v>
      </c>
      <c r="G2403" s="75" t="str">
        <f>"১৩০৩০৬১৮১৬২২"</f>
        <v>১৩০৩০৬১৮১৬২২</v>
      </c>
      <c r="H2403" s="75" t="s">
        <v>319</v>
      </c>
      <c r="I2403" s="75" t="s">
        <v>319</v>
      </c>
      <c r="J2403" s="5"/>
    </row>
    <row r="2404" spans="1:10" x14ac:dyDescent="0.25">
      <c r="A2404" s="39">
        <v>2403</v>
      </c>
      <c r="B2404" s="3" t="s">
        <v>1417</v>
      </c>
      <c r="C2404" s="75" t="s">
        <v>2960</v>
      </c>
      <c r="D2404" s="75" t="s">
        <v>1377</v>
      </c>
      <c r="E2404" s="75" t="str">
        <f t="shared" si="49"/>
        <v>০</v>
      </c>
      <c r="F2404" s="22" t="str">
        <f>"8119457832105"</f>
        <v>8119457832105</v>
      </c>
      <c r="G2404" s="75" t="str">
        <f>"১৩০৩০৬১৮১৬২১"</f>
        <v>১৩০৩০৬১৮১৬২১</v>
      </c>
      <c r="H2404" s="75" t="s">
        <v>319</v>
      </c>
      <c r="I2404" s="75" t="s">
        <v>319</v>
      </c>
      <c r="J2404" s="5"/>
    </row>
    <row r="2405" spans="1:10" x14ac:dyDescent="0.25">
      <c r="A2405" s="39">
        <v>2404</v>
      </c>
      <c r="B2405" s="3" t="s">
        <v>1418</v>
      </c>
      <c r="C2405" s="75" t="s">
        <v>1419</v>
      </c>
      <c r="D2405" s="75" t="s">
        <v>1377</v>
      </c>
      <c r="E2405" s="75" t="str">
        <f t="shared" si="49"/>
        <v>০</v>
      </c>
      <c r="F2405" s="22" t="str">
        <f>"8119457830351"</f>
        <v>8119457830351</v>
      </c>
      <c r="G2405" s="75" t="str">
        <f>"১৩০৩০৬১৮১৬২০"</f>
        <v>১৩০৩০৬১৮১৬২০</v>
      </c>
      <c r="H2405" s="75" t="s">
        <v>319</v>
      </c>
      <c r="I2405" s="75" t="s">
        <v>319</v>
      </c>
      <c r="J2405" s="5"/>
    </row>
    <row r="2406" spans="1:10" x14ac:dyDescent="0.25">
      <c r="A2406" s="39">
        <v>2405</v>
      </c>
      <c r="B2406" s="3" t="s">
        <v>1298</v>
      </c>
      <c r="C2406" s="75" t="s">
        <v>1420</v>
      </c>
      <c r="D2406" s="75" t="s">
        <v>1377</v>
      </c>
      <c r="E2406" s="75" t="str">
        <f t="shared" si="49"/>
        <v>০</v>
      </c>
      <c r="F2406" s="22" t="str">
        <f>"8119457830356"</f>
        <v>8119457830356</v>
      </c>
      <c r="G2406" s="75" t="str">
        <f>"১৩০৩০৬১৮১৬১৯"</f>
        <v>১৩০৩০৬১৮১৬১৯</v>
      </c>
      <c r="H2406" s="75" t="s">
        <v>456</v>
      </c>
      <c r="I2406" s="75" t="s">
        <v>456</v>
      </c>
      <c r="J2406" s="5"/>
    </row>
    <row r="2407" spans="1:10" x14ac:dyDescent="0.25">
      <c r="A2407" s="39">
        <v>2406</v>
      </c>
      <c r="B2407" s="3" t="s">
        <v>1421</v>
      </c>
      <c r="C2407" s="75" t="s">
        <v>1411</v>
      </c>
      <c r="D2407" s="75" t="s">
        <v>1351</v>
      </c>
      <c r="E2407" s="75" t="str">
        <f t="shared" si="49"/>
        <v>০</v>
      </c>
      <c r="F2407" s="22" t="str">
        <f>"8119457830585"</f>
        <v>8119457830585</v>
      </c>
      <c r="G2407" s="75" t="str">
        <f>"১৩০৩০৬১৮১৬১৮"</f>
        <v>১৩০৩০৬১৮১৬১৮</v>
      </c>
      <c r="H2407" s="75" t="s">
        <v>319</v>
      </c>
      <c r="I2407" s="75" t="s">
        <v>319</v>
      </c>
      <c r="J2407" s="5"/>
    </row>
    <row r="2408" spans="1:10" x14ac:dyDescent="0.25">
      <c r="A2408" s="39">
        <v>2407</v>
      </c>
      <c r="B2408" s="3" t="s">
        <v>1422</v>
      </c>
      <c r="C2408" s="75" t="s">
        <v>1423</v>
      </c>
      <c r="D2408" s="75" t="s">
        <v>1380</v>
      </c>
      <c r="E2408" s="75" t="str">
        <f t="shared" si="49"/>
        <v>০</v>
      </c>
      <c r="F2408" s="22" t="str">
        <f>"8119457819581"</f>
        <v>8119457819581</v>
      </c>
      <c r="G2408" s="75" t="str">
        <f>"১৩০৩০৬১৮১৬১৭"</f>
        <v>১৩০৩০৬১৮১৬১৭</v>
      </c>
      <c r="H2408" s="75" t="s">
        <v>319</v>
      </c>
      <c r="I2408" s="75" t="s">
        <v>319</v>
      </c>
      <c r="J2408" s="5"/>
    </row>
    <row r="2409" spans="1:10" x14ac:dyDescent="0.25">
      <c r="A2409" s="39">
        <v>2408</v>
      </c>
      <c r="B2409" s="3" t="s">
        <v>1424</v>
      </c>
      <c r="C2409" s="75" t="s">
        <v>1425</v>
      </c>
      <c r="D2409" s="75" t="s">
        <v>1384</v>
      </c>
      <c r="E2409" s="75" t="str">
        <f t="shared" si="49"/>
        <v>০</v>
      </c>
      <c r="F2409" s="22" t="str">
        <f>"8119457830913"</f>
        <v>8119457830913</v>
      </c>
      <c r="G2409" s="75" t="str">
        <f>"১৩০৩০৬১৮১৬১৬"</f>
        <v>১৩০৩০৬১৮১৬১৬</v>
      </c>
      <c r="H2409" s="75" t="s">
        <v>1394</v>
      </c>
      <c r="I2409" s="75" t="s">
        <v>1394</v>
      </c>
      <c r="J2409" s="5"/>
    </row>
    <row r="2410" spans="1:10" x14ac:dyDescent="0.25">
      <c r="A2410" s="39">
        <v>2409</v>
      </c>
      <c r="B2410" s="3" t="s">
        <v>753</v>
      </c>
      <c r="C2410" s="75" t="s">
        <v>1235</v>
      </c>
      <c r="D2410" s="75" t="s">
        <v>1351</v>
      </c>
      <c r="E2410" s="75" t="str">
        <f t="shared" si="49"/>
        <v>০</v>
      </c>
      <c r="F2410" s="22" t="str">
        <f>"8119457830914"</f>
        <v>8119457830914</v>
      </c>
      <c r="G2410" s="75" t="str">
        <f>"১৩০৩০৬১৮১৬১৫"</f>
        <v>১৩০৩০৬১৮১৬১৫</v>
      </c>
      <c r="H2410" s="75" t="s">
        <v>319</v>
      </c>
      <c r="I2410" s="75" t="s">
        <v>319</v>
      </c>
      <c r="J2410" s="5"/>
    </row>
    <row r="2411" spans="1:10" x14ac:dyDescent="0.25">
      <c r="A2411" s="39">
        <v>2410</v>
      </c>
      <c r="B2411" s="3" t="s">
        <v>1426</v>
      </c>
      <c r="C2411" s="75" t="s">
        <v>1427</v>
      </c>
      <c r="D2411" s="75" t="s">
        <v>1351</v>
      </c>
      <c r="E2411" s="75" t="str">
        <f t="shared" si="49"/>
        <v>০</v>
      </c>
      <c r="F2411" s="22" t="str">
        <f>"8119457830754"</f>
        <v>8119457830754</v>
      </c>
      <c r="G2411" s="75" t="str">
        <f>"১৩০৩০৬১৮১৬১৪"</f>
        <v>১৩০৩০৬১৮১৬১৪</v>
      </c>
      <c r="H2411" s="75" t="s">
        <v>319</v>
      </c>
      <c r="I2411" s="75" t="s">
        <v>319</v>
      </c>
      <c r="J2411" s="5"/>
    </row>
    <row r="2412" spans="1:10" x14ac:dyDescent="0.25">
      <c r="A2412" s="39">
        <v>2411</v>
      </c>
      <c r="B2412" s="3" t="s">
        <v>1428</v>
      </c>
      <c r="C2412" s="75" t="s">
        <v>1429</v>
      </c>
      <c r="D2412" s="75" t="s">
        <v>1377</v>
      </c>
      <c r="E2412" s="75" t="str">
        <f t="shared" si="49"/>
        <v>০</v>
      </c>
      <c r="F2412" s="22" t="str">
        <f>"8119457830754"</f>
        <v>8119457830754</v>
      </c>
      <c r="G2412" s="75" t="str">
        <f>"১৩০৩০৬১৮১৬১৩"</f>
        <v>১৩০৩০৬১৮১৬১৩</v>
      </c>
      <c r="H2412" s="75" t="s">
        <v>456</v>
      </c>
      <c r="I2412" s="75" t="s">
        <v>456</v>
      </c>
      <c r="J2412" s="5"/>
    </row>
    <row r="2413" spans="1:10" x14ac:dyDescent="0.25">
      <c r="A2413" s="39">
        <v>2412</v>
      </c>
      <c r="B2413" s="3" t="s">
        <v>1430</v>
      </c>
      <c r="C2413" s="75" t="s">
        <v>1431</v>
      </c>
      <c r="D2413" s="75" t="s">
        <v>1380</v>
      </c>
      <c r="E2413" s="75" t="str">
        <f t="shared" si="49"/>
        <v>০</v>
      </c>
      <c r="F2413" s="22" t="str">
        <f>"8119457819682"</f>
        <v>8119457819682</v>
      </c>
      <c r="G2413" s="75" t="str">
        <f>"১৩০৩০৬১৮১৬১২"</f>
        <v>১৩০৩০৬১৮১৬১২</v>
      </c>
      <c r="H2413" s="75" t="s">
        <v>322</v>
      </c>
      <c r="I2413" s="75" t="s">
        <v>322</v>
      </c>
      <c r="J2413" s="5"/>
    </row>
    <row r="2414" spans="1:10" x14ac:dyDescent="0.25">
      <c r="A2414" s="39">
        <v>2413</v>
      </c>
      <c r="B2414" s="3" t="s">
        <v>1432</v>
      </c>
      <c r="C2414" s="75" t="s">
        <v>1433</v>
      </c>
      <c r="D2414" s="75" t="s">
        <v>1372</v>
      </c>
      <c r="E2414" s="75" t="str">
        <f t="shared" si="49"/>
        <v>০</v>
      </c>
      <c r="F2414" s="22" t="str">
        <f>"8119457715314"</f>
        <v>8119457715314</v>
      </c>
      <c r="G2414" s="75" t="str">
        <f>"১৩০৩০৬১৮১৬১১"</f>
        <v>১৩০৩০৬১৮১৬১১</v>
      </c>
      <c r="H2414" s="75" t="s">
        <v>1434</v>
      </c>
      <c r="I2414" s="75" t="s">
        <v>1434</v>
      </c>
      <c r="J2414" s="5"/>
    </row>
    <row r="2415" spans="1:10" x14ac:dyDescent="0.25">
      <c r="A2415" s="39">
        <v>2414</v>
      </c>
      <c r="B2415" s="3" t="s">
        <v>1435</v>
      </c>
      <c r="C2415" s="75" t="s">
        <v>1436</v>
      </c>
      <c r="D2415" s="75" t="s">
        <v>1372</v>
      </c>
      <c r="E2415" s="75" t="str">
        <f t="shared" si="49"/>
        <v>০</v>
      </c>
      <c r="F2415" s="22" t="str">
        <f>"8119457715312"</f>
        <v>8119457715312</v>
      </c>
      <c r="G2415" s="75" t="str">
        <f>"১৩০৩০৬১৮১৬১০"</f>
        <v>১৩০৩০৬১৮১৬১০</v>
      </c>
      <c r="H2415" s="75" t="s">
        <v>319</v>
      </c>
      <c r="I2415" s="75" t="s">
        <v>319</v>
      </c>
      <c r="J2415" s="5"/>
    </row>
    <row r="2416" spans="1:10" x14ac:dyDescent="0.25">
      <c r="A2416" s="39">
        <v>2415</v>
      </c>
      <c r="B2416" s="3" t="s">
        <v>1437</v>
      </c>
      <c r="C2416" s="75" t="s">
        <v>1438</v>
      </c>
      <c r="D2416" s="75" t="s">
        <v>1372</v>
      </c>
      <c r="E2416" s="75" t="str">
        <f t="shared" si="49"/>
        <v>০</v>
      </c>
      <c r="F2416" s="22" t="str">
        <f>"8119457813381"</f>
        <v>8119457813381</v>
      </c>
      <c r="G2416" s="75" t="str">
        <f>"১৩০৩০৬১৮১৬০৮"</f>
        <v>১৩০৩০৬১৮১৬০৮</v>
      </c>
      <c r="H2416" s="75" t="s">
        <v>371</v>
      </c>
      <c r="I2416" s="75" t="s">
        <v>371</v>
      </c>
      <c r="J2416" s="5"/>
    </row>
    <row r="2417" spans="1:10" x14ac:dyDescent="0.25">
      <c r="A2417" s="39">
        <v>2416</v>
      </c>
      <c r="B2417" s="3" t="s">
        <v>1439</v>
      </c>
      <c r="C2417" s="75" t="s">
        <v>1440</v>
      </c>
      <c r="D2417" s="75" t="s">
        <v>1372</v>
      </c>
      <c r="E2417" s="75" t="str">
        <f t="shared" si="49"/>
        <v>০</v>
      </c>
      <c r="F2417" s="22" t="str">
        <f>"8119457000281"</f>
        <v>8119457000281</v>
      </c>
      <c r="G2417" s="75" t="str">
        <f>"১৩০৩০৬১৮১৬০৯"</f>
        <v>১৩০৩০৬১৮১৬০৯</v>
      </c>
      <c r="H2417" s="75" t="s">
        <v>322</v>
      </c>
      <c r="I2417" s="75" t="s">
        <v>322</v>
      </c>
      <c r="J2417" s="5"/>
    </row>
    <row r="2418" spans="1:10" x14ac:dyDescent="0.25">
      <c r="A2418" s="39">
        <v>2417</v>
      </c>
      <c r="B2418" s="3" t="s">
        <v>1441</v>
      </c>
      <c r="C2418" s="75" t="s">
        <v>1442</v>
      </c>
      <c r="D2418" s="75" t="s">
        <v>1351</v>
      </c>
      <c r="E2418" s="75" t="str">
        <f t="shared" si="49"/>
        <v>০</v>
      </c>
      <c r="F2418" s="22" t="str">
        <f>"8119457830637"</f>
        <v>8119457830637</v>
      </c>
      <c r="G2418" s="75" t="str">
        <f>"১৩০৩০৬১৮১৫৮৬"</f>
        <v>১৩০৩০৬১৮১৫৮৬</v>
      </c>
      <c r="H2418" s="75" t="s">
        <v>371</v>
      </c>
      <c r="I2418" s="75" t="s">
        <v>371</v>
      </c>
      <c r="J2418" s="5"/>
    </row>
    <row r="2419" spans="1:10" x14ac:dyDescent="0.25">
      <c r="A2419" s="39">
        <v>2418</v>
      </c>
      <c r="B2419" s="3" t="s">
        <v>1438</v>
      </c>
      <c r="C2419" s="75" t="s">
        <v>1443</v>
      </c>
      <c r="D2419" s="75" t="s">
        <v>1372</v>
      </c>
      <c r="E2419" s="75" t="str">
        <f t="shared" si="49"/>
        <v>০</v>
      </c>
      <c r="F2419" s="22" t="str">
        <f>"8119457813379"</f>
        <v>8119457813379</v>
      </c>
      <c r="G2419" s="75" t="str">
        <f>"১৩০৩০৬১৮১৫৭১"</f>
        <v>১৩০৩০৬১৮১৫৭১</v>
      </c>
      <c r="H2419" s="75" t="s">
        <v>371</v>
      </c>
      <c r="I2419" s="75" t="s">
        <v>371</v>
      </c>
      <c r="J2419" s="5"/>
    </row>
    <row r="2420" spans="1:10" x14ac:dyDescent="0.25">
      <c r="A2420" s="39">
        <v>2419</v>
      </c>
      <c r="B2420" s="3" t="s">
        <v>3125</v>
      </c>
      <c r="C2420" s="75" t="s">
        <v>1444</v>
      </c>
      <c r="D2420" s="75" t="s">
        <v>1372</v>
      </c>
      <c r="E2420" s="75" t="str">
        <f t="shared" si="49"/>
        <v>০</v>
      </c>
      <c r="F2420" s="22" t="str">
        <f>"8119457813148"</f>
        <v>8119457813148</v>
      </c>
      <c r="G2420" s="75" t="str">
        <f>"১৩০৩০৬১৮১৫৮৭"</f>
        <v>১৩০৩০৬১৮১৫৮৭</v>
      </c>
      <c r="H2420" s="75" t="s">
        <v>322</v>
      </c>
      <c r="I2420" s="75" t="s">
        <v>322</v>
      </c>
      <c r="J2420" s="5"/>
    </row>
    <row r="2421" spans="1:10" x14ac:dyDescent="0.25">
      <c r="A2421" s="39">
        <v>2420</v>
      </c>
      <c r="B2421" s="3" t="s">
        <v>753</v>
      </c>
      <c r="C2421" s="75" t="s">
        <v>1445</v>
      </c>
      <c r="D2421" s="75" t="s">
        <v>1354</v>
      </c>
      <c r="E2421" s="75" t="str">
        <f t="shared" si="49"/>
        <v>০</v>
      </c>
      <c r="F2421" s="22" t="str">
        <f>"8119457832817"</f>
        <v>8119457832817</v>
      </c>
      <c r="G2421" s="75" t="str">
        <f>"১৩০৩০৬১৮১৬০০"</f>
        <v>১৩০৩০৬১৮১৬০০</v>
      </c>
      <c r="H2421" s="75" t="s">
        <v>371</v>
      </c>
      <c r="I2421" s="75" t="s">
        <v>371</v>
      </c>
      <c r="J2421" s="5"/>
    </row>
    <row r="2422" spans="1:10" x14ac:dyDescent="0.25">
      <c r="A2422" s="39">
        <v>2421</v>
      </c>
      <c r="B2422" s="3" t="s">
        <v>1446</v>
      </c>
      <c r="C2422" s="75" t="s">
        <v>1447</v>
      </c>
      <c r="D2422" s="75" t="s">
        <v>1354</v>
      </c>
      <c r="E2422" s="75" t="str">
        <f t="shared" si="49"/>
        <v>০</v>
      </c>
      <c r="F2422" s="22" t="str">
        <f>"8119457832777"</f>
        <v>8119457832777</v>
      </c>
      <c r="G2422" s="75" t="str">
        <f>"১৩০৩০৬১৮১৫৯৮"</f>
        <v>১৩০৩০৬১৮১৫৯৮</v>
      </c>
      <c r="H2422" s="75" t="s">
        <v>364</v>
      </c>
      <c r="I2422" s="75" t="s">
        <v>364</v>
      </c>
      <c r="J2422" s="5"/>
    </row>
    <row r="2423" spans="1:10" x14ac:dyDescent="0.25">
      <c r="A2423" s="39">
        <v>2422</v>
      </c>
      <c r="B2423" s="3" t="s">
        <v>777</v>
      </c>
      <c r="C2423" s="75" t="s">
        <v>1448</v>
      </c>
      <c r="D2423" s="75" t="s">
        <v>1370</v>
      </c>
      <c r="E2423" s="75" t="str">
        <f t="shared" si="49"/>
        <v>০</v>
      </c>
      <c r="F2423" s="22" t="str">
        <f>"8119457814504"</f>
        <v>8119457814504</v>
      </c>
      <c r="G2423" s="75" t="str">
        <f>"১৩০৩০৬১৮১৫৮১"</f>
        <v>১৩০৩০৬১৮১৫৮১</v>
      </c>
      <c r="H2423" s="75" t="s">
        <v>371</v>
      </c>
      <c r="I2423" s="75" t="s">
        <v>371</v>
      </c>
      <c r="J2423" s="5"/>
    </row>
    <row r="2424" spans="1:10" x14ac:dyDescent="0.25">
      <c r="A2424" s="39">
        <v>2423</v>
      </c>
      <c r="B2424" s="3" t="s">
        <v>2126</v>
      </c>
      <c r="C2424" s="75" t="s">
        <v>1449</v>
      </c>
      <c r="D2424" s="75" t="s">
        <v>1360</v>
      </c>
      <c r="E2424" s="75" t="str">
        <f t="shared" si="49"/>
        <v>০</v>
      </c>
      <c r="F2424" s="22" t="str">
        <f>"8119457713399"</f>
        <v>8119457713399</v>
      </c>
      <c r="G2424" s="75" t="str">
        <f>"১৩০৩০৬১৮১৫৯০"</f>
        <v>১৩০৩০৬১৮১৫৯০</v>
      </c>
      <c r="H2424" s="75" t="s">
        <v>371</v>
      </c>
      <c r="I2424" s="75" t="s">
        <v>371</v>
      </c>
      <c r="J2424" s="5"/>
    </row>
    <row r="2425" spans="1:10" x14ac:dyDescent="0.25">
      <c r="A2425" s="39">
        <v>2424</v>
      </c>
      <c r="B2425" s="3" t="s">
        <v>1450</v>
      </c>
      <c r="C2425" s="75" t="s">
        <v>1451</v>
      </c>
      <c r="D2425" s="75" t="s">
        <v>1384</v>
      </c>
      <c r="E2425" s="75" t="str">
        <f t="shared" si="49"/>
        <v>০</v>
      </c>
      <c r="F2425" s="22" t="str">
        <f>"8119457830952"</f>
        <v>8119457830952</v>
      </c>
      <c r="G2425" s="75" t="str">
        <f>"১৩০৩০৬১৮১৫৮৪"</f>
        <v>১৩০৩০৬১৮১৫৮৪</v>
      </c>
      <c r="H2425" s="75" t="s">
        <v>371</v>
      </c>
      <c r="I2425" s="75" t="s">
        <v>371</v>
      </c>
      <c r="J2425" s="5"/>
    </row>
    <row r="2426" spans="1:10" x14ac:dyDescent="0.25">
      <c r="A2426" s="39">
        <v>2425</v>
      </c>
      <c r="B2426" s="3" t="s">
        <v>1452</v>
      </c>
      <c r="C2426" s="75" t="s">
        <v>1453</v>
      </c>
      <c r="D2426" s="75" t="s">
        <v>1372</v>
      </c>
      <c r="E2426" s="75" t="str">
        <f t="shared" si="49"/>
        <v>০</v>
      </c>
      <c r="F2426" s="22" t="str">
        <f>"8119457812745"</f>
        <v>8119457812745</v>
      </c>
      <c r="G2426" s="75" t="str">
        <f>"১৩০৩০৬১৮১৫৮০"</f>
        <v>১৩০৩০৬১৮১৫৮০</v>
      </c>
      <c r="H2426" s="75" t="s">
        <v>322</v>
      </c>
      <c r="I2426" s="75" t="s">
        <v>322</v>
      </c>
      <c r="J2426" s="5"/>
    </row>
    <row r="2427" spans="1:10" x14ac:dyDescent="0.25">
      <c r="A2427" s="39">
        <v>2426</v>
      </c>
      <c r="B2427" s="3" t="s">
        <v>3143</v>
      </c>
      <c r="C2427" s="75" t="s">
        <v>1454</v>
      </c>
      <c r="D2427" s="75" t="s">
        <v>3139</v>
      </c>
      <c r="E2427" s="75" t="str">
        <f t="shared" si="49"/>
        <v>০</v>
      </c>
      <c r="F2427" s="22" t="str">
        <f>"8119457000023"</f>
        <v>8119457000023</v>
      </c>
      <c r="G2427" s="75" t="str">
        <f>"১৩০৩০৬১৮১৫৯১"</f>
        <v>১৩০৩০৬১৮১৫৯১</v>
      </c>
      <c r="H2427" s="75" t="s">
        <v>371</v>
      </c>
      <c r="I2427" s="75" t="s">
        <v>371</v>
      </c>
      <c r="J2427" s="5"/>
    </row>
    <row r="2428" spans="1:10" x14ac:dyDescent="0.25">
      <c r="A2428" s="39">
        <v>2427</v>
      </c>
      <c r="B2428" s="3" t="s">
        <v>1455</v>
      </c>
      <c r="C2428" s="75" t="s">
        <v>1456</v>
      </c>
      <c r="D2428" s="75" t="s">
        <v>1351</v>
      </c>
      <c r="E2428" s="75" t="str">
        <f t="shared" si="49"/>
        <v>০</v>
      </c>
      <c r="F2428" s="22" t="str">
        <f>"8119457830544"</f>
        <v>8119457830544</v>
      </c>
      <c r="G2428" s="75" t="str">
        <f>"১৩০৩০৬১৮১৫৮৫"</f>
        <v>১৩০৩০৬১৮১৫৮৫</v>
      </c>
      <c r="H2428" s="75" t="s">
        <v>329</v>
      </c>
      <c r="I2428" s="75" t="s">
        <v>329</v>
      </c>
      <c r="J2428" s="5"/>
    </row>
    <row r="2429" spans="1:10" x14ac:dyDescent="0.25">
      <c r="A2429" s="39">
        <v>2428</v>
      </c>
      <c r="B2429" s="3" t="s">
        <v>2808</v>
      </c>
      <c r="C2429" s="75" t="s">
        <v>1457</v>
      </c>
      <c r="D2429" s="75" t="s">
        <v>1380</v>
      </c>
      <c r="E2429" s="75" t="str">
        <f t="shared" si="49"/>
        <v>০</v>
      </c>
      <c r="F2429" s="22" t="str">
        <f>"8119457819583"</f>
        <v>8119457819583</v>
      </c>
      <c r="G2429" s="75" t="str">
        <f>"১৩০৩০৬১৮১৫৮৩"</f>
        <v>১৩০৩০৬১৮১৫৮৩</v>
      </c>
      <c r="H2429" s="75" t="s">
        <v>371</v>
      </c>
      <c r="I2429" s="75" t="s">
        <v>371</v>
      </c>
      <c r="J2429" s="5"/>
    </row>
    <row r="2430" spans="1:10" x14ac:dyDescent="0.25">
      <c r="A2430" s="39">
        <v>2429</v>
      </c>
      <c r="B2430" s="3" t="s">
        <v>3144</v>
      </c>
      <c r="C2430" s="75" t="s">
        <v>3005</v>
      </c>
      <c r="D2430" s="75" t="s">
        <v>1360</v>
      </c>
      <c r="E2430" s="75" t="str">
        <f t="shared" si="49"/>
        <v>০</v>
      </c>
      <c r="F2430" s="22" t="str">
        <f>"8119457000144"</f>
        <v>8119457000144</v>
      </c>
      <c r="G2430" s="75" t="str">
        <f>"১৩০৩০৬১৮১৫৯২"</f>
        <v>১৩০৩০৬১৮১৫৯২</v>
      </c>
      <c r="H2430" s="75" t="s">
        <v>371</v>
      </c>
      <c r="I2430" s="75" t="s">
        <v>371</v>
      </c>
      <c r="J2430" s="5"/>
    </row>
    <row r="2431" spans="1:10" x14ac:dyDescent="0.25">
      <c r="A2431" s="39">
        <v>2430</v>
      </c>
      <c r="B2431" s="3" t="s">
        <v>1458</v>
      </c>
      <c r="C2431" s="75" t="s">
        <v>1459</v>
      </c>
      <c r="D2431" s="75" t="s">
        <v>1380</v>
      </c>
      <c r="E2431" s="75" t="str">
        <f t="shared" si="49"/>
        <v>০</v>
      </c>
      <c r="F2431" s="22" t="str">
        <f>"8119457819828"</f>
        <v>8119457819828</v>
      </c>
      <c r="G2431" s="75" t="str">
        <f>"১৩০৩০৬১৮১৫৯৭"</f>
        <v>১৩০৩০৬১৮১৫৯৭</v>
      </c>
      <c r="H2431" s="75" t="s">
        <v>371</v>
      </c>
      <c r="I2431" s="75" t="s">
        <v>371</v>
      </c>
      <c r="J2431" s="5"/>
    </row>
    <row r="2432" spans="1:10" x14ac:dyDescent="0.25">
      <c r="A2432" s="39">
        <v>2431</v>
      </c>
      <c r="B2432" s="3" t="s">
        <v>1460</v>
      </c>
      <c r="C2432" s="75" t="s">
        <v>679</v>
      </c>
      <c r="D2432" s="75" t="s">
        <v>1370</v>
      </c>
      <c r="E2432" s="75" t="str">
        <f t="shared" si="49"/>
        <v>০</v>
      </c>
      <c r="F2432" s="22" t="str">
        <f>"8119457813812"</f>
        <v>8119457813812</v>
      </c>
      <c r="G2432" s="75" t="str">
        <f>"১৩০৩০৬১৮১৫৯৬"</f>
        <v>১৩০৩০৬১৮১৫৯৬</v>
      </c>
      <c r="H2432" s="75" t="s">
        <v>371</v>
      </c>
      <c r="I2432" s="75" t="s">
        <v>371</v>
      </c>
      <c r="J2432" s="5"/>
    </row>
    <row r="2433" spans="1:10" x14ac:dyDescent="0.25">
      <c r="A2433" s="39">
        <v>2432</v>
      </c>
      <c r="B2433" s="3" t="s">
        <v>743</v>
      </c>
      <c r="C2433" s="75" t="s">
        <v>3145</v>
      </c>
      <c r="D2433" s="75" t="s">
        <v>1363</v>
      </c>
      <c r="E2433" s="75" t="str">
        <f t="shared" si="49"/>
        <v>০</v>
      </c>
      <c r="F2433" s="22" t="str">
        <f>"8119457832337"</f>
        <v>8119457832337</v>
      </c>
      <c r="G2433" s="75" t="str">
        <f>"১৩০৩০৬১৮১৫৯৯"</f>
        <v>১৩০৩০৬১৮১৫৯৯</v>
      </c>
      <c r="H2433" s="75" t="s">
        <v>322</v>
      </c>
      <c r="I2433" s="75" t="s">
        <v>322</v>
      </c>
      <c r="J2433" s="5"/>
    </row>
    <row r="2434" spans="1:10" x14ac:dyDescent="0.25">
      <c r="A2434" s="39">
        <v>2433</v>
      </c>
      <c r="B2434" s="3" t="s">
        <v>1320</v>
      </c>
      <c r="C2434" s="75" t="s">
        <v>1461</v>
      </c>
      <c r="D2434" s="75" t="s">
        <v>1380</v>
      </c>
      <c r="E2434" s="75" t="str">
        <f t="shared" si="49"/>
        <v>০</v>
      </c>
      <c r="F2434" s="22" t="str">
        <f>"8119457819599"</f>
        <v>8119457819599</v>
      </c>
      <c r="G2434" s="75" t="str">
        <f>"১৩০৩০৬১৮১৫৯৩"</f>
        <v>১৩০৩০৬১৮১৫৯৩</v>
      </c>
      <c r="H2434" s="75" t="s">
        <v>322</v>
      </c>
      <c r="I2434" s="75" t="s">
        <v>322</v>
      </c>
      <c r="J2434" s="5"/>
    </row>
    <row r="2435" spans="1:10" x14ac:dyDescent="0.25">
      <c r="A2435" s="39">
        <v>2434</v>
      </c>
      <c r="B2435" s="3" t="s">
        <v>1462</v>
      </c>
      <c r="C2435" s="75" t="s">
        <v>1463</v>
      </c>
      <c r="D2435" s="75" t="s">
        <v>1372</v>
      </c>
      <c r="E2435" s="75" t="str">
        <f t="shared" si="49"/>
        <v>০</v>
      </c>
      <c r="F2435" s="22" t="str">
        <f>"8119457812540"</f>
        <v>8119457812540</v>
      </c>
      <c r="G2435" s="75" t="str">
        <f>"১৩০৩০৬১৮১৫৭০"</f>
        <v>১৩০৩০৬১৮১৫৭০</v>
      </c>
      <c r="H2435" s="75" t="s">
        <v>371</v>
      </c>
      <c r="I2435" s="75" t="s">
        <v>371</v>
      </c>
      <c r="J2435" s="5"/>
    </row>
    <row r="2436" spans="1:10" x14ac:dyDescent="0.25">
      <c r="A2436" s="39">
        <v>2435</v>
      </c>
      <c r="B2436" s="3" t="s">
        <v>1464</v>
      </c>
      <c r="C2436" s="75" t="s">
        <v>1465</v>
      </c>
      <c r="D2436" s="75" t="s">
        <v>1370</v>
      </c>
      <c r="E2436" s="75" t="str">
        <f t="shared" si="49"/>
        <v>০</v>
      </c>
      <c r="F2436" s="22" t="str">
        <f>"8119457814289"</f>
        <v>8119457814289</v>
      </c>
      <c r="G2436" s="75" t="str">
        <f>"১৩০৩০৬১৮১৫৭২"</f>
        <v>১৩০৩০৬১৮১৫৭২</v>
      </c>
      <c r="H2436" s="75" t="s">
        <v>371</v>
      </c>
      <c r="I2436" s="75" t="s">
        <v>371</v>
      </c>
      <c r="J2436" s="5"/>
    </row>
    <row r="2437" spans="1:10" x14ac:dyDescent="0.25">
      <c r="A2437" s="39">
        <v>2436</v>
      </c>
      <c r="B2437" s="3" t="s">
        <v>1466</v>
      </c>
      <c r="C2437" s="75" t="s">
        <v>1467</v>
      </c>
      <c r="D2437" s="75" t="s">
        <v>1370</v>
      </c>
      <c r="E2437" s="75" t="str">
        <f t="shared" si="49"/>
        <v>০</v>
      </c>
      <c r="F2437" s="22" t="str">
        <f>"8119457814306"</f>
        <v>8119457814306</v>
      </c>
      <c r="G2437" s="75" t="str">
        <f>"১৩০৩০৬১৮১৫৭৩"</f>
        <v>১৩০৩০৬১৮১৫৭৩</v>
      </c>
      <c r="H2437" s="75" t="s">
        <v>371</v>
      </c>
      <c r="I2437" s="75" t="s">
        <v>371</v>
      </c>
      <c r="J2437" s="5"/>
    </row>
    <row r="2438" spans="1:10" x14ac:dyDescent="0.25">
      <c r="A2438" s="39">
        <v>2437</v>
      </c>
      <c r="B2438" s="3" t="s">
        <v>1565</v>
      </c>
      <c r="C2438" s="75" t="s">
        <v>1468</v>
      </c>
      <c r="D2438" s="75" t="s">
        <v>1377</v>
      </c>
      <c r="E2438" s="75" t="str">
        <f t="shared" si="49"/>
        <v>০</v>
      </c>
      <c r="F2438" s="22" t="str">
        <f>"8119457830121"</f>
        <v>8119457830121</v>
      </c>
      <c r="G2438" s="75" t="str">
        <f>"১৩০৩০৬১৮১৫৭৪"</f>
        <v>১৩০৩০৬১৮১৫৭৪</v>
      </c>
      <c r="H2438" s="75" t="s">
        <v>371</v>
      </c>
      <c r="I2438" s="75" t="s">
        <v>371</v>
      </c>
      <c r="J2438" s="5"/>
    </row>
    <row r="2439" spans="1:10" x14ac:dyDescent="0.25">
      <c r="A2439" s="39">
        <v>2438</v>
      </c>
      <c r="B2439" s="3" t="s">
        <v>1578</v>
      </c>
      <c r="C2439" s="75" t="s">
        <v>1469</v>
      </c>
      <c r="D2439" s="75" t="s">
        <v>1377</v>
      </c>
      <c r="E2439" s="75" t="str">
        <f t="shared" si="49"/>
        <v>০</v>
      </c>
      <c r="F2439" s="22" t="str">
        <f>"8119457830400"</f>
        <v>8119457830400</v>
      </c>
      <c r="G2439" s="75" t="str">
        <f>"১৩০৩০৬১৮১৫৭৫"</f>
        <v>১৩০৩০৬১৮১৫৭৫</v>
      </c>
      <c r="H2439" s="75" t="s">
        <v>371</v>
      </c>
      <c r="I2439" s="75" t="s">
        <v>371</v>
      </c>
      <c r="J2439" s="5"/>
    </row>
    <row r="2440" spans="1:10" x14ac:dyDescent="0.25">
      <c r="A2440" s="39">
        <v>2439</v>
      </c>
      <c r="B2440" s="3" t="s">
        <v>1781</v>
      </c>
      <c r="C2440" s="75" t="s">
        <v>1470</v>
      </c>
      <c r="D2440" s="75" t="s">
        <v>1360</v>
      </c>
      <c r="E2440" s="75" t="str">
        <f t="shared" si="49"/>
        <v>০</v>
      </c>
      <c r="F2440" s="22" t="str">
        <f>"8119457713153"</f>
        <v>8119457713153</v>
      </c>
      <c r="G2440" s="75" t="str">
        <f>"১৩০৩০৬১৮১৫৭৭"</f>
        <v>১৩০৩০৬১৮১৫৭৭</v>
      </c>
      <c r="H2440" s="75" t="s">
        <v>322</v>
      </c>
      <c r="I2440" s="75" t="s">
        <v>322</v>
      </c>
      <c r="J2440" s="5"/>
    </row>
    <row r="2441" spans="1:10" x14ac:dyDescent="0.25">
      <c r="A2441" s="39">
        <v>2440</v>
      </c>
      <c r="B2441" s="3" t="s">
        <v>2660</v>
      </c>
      <c r="C2441" s="75" t="s">
        <v>3146</v>
      </c>
      <c r="D2441" s="75" t="s">
        <v>1354</v>
      </c>
      <c r="E2441" s="75" t="str">
        <f t="shared" si="49"/>
        <v>০</v>
      </c>
      <c r="F2441" s="22" t="str">
        <f>"8119457832994"</f>
        <v>8119457832994</v>
      </c>
      <c r="G2441" s="75" t="str">
        <f>"১৩০৩০৬১৮১৫৭৮"</f>
        <v>১৩০৩০৬১৮১৫৭৮</v>
      </c>
      <c r="H2441" s="75" t="s">
        <v>371</v>
      </c>
      <c r="I2441" s="75" t="s">
        <v>371</v>
      </c>
      <c r="J2441" s="5"/>
    </row>
    <row r="2442" spans="1:10" x14ac:dyDescent="0.25">
      <c r="A2442" s="39">
        <v>2441</v>
      </c>
      <c r="B2442" s="3" t="s">
        <v>1679</v>
      </c>
      <c r="C2442" s="75" t="s">
        <v>1471</v>
      </c>
      <c r="D2442" s="75" t="s">
        <v>1370</v>
      </c>
      <c r="E2442" s="75" t="str">
        <f t="shared" si="49"/>
        <v>০</v>
      </c>
      <c r="F2442" s="22" t="str">
        <f>"8119457815049"</f>
        <v>8119457815049</v>
      </c>
      <c r="G2442" s="75" t="str">
        <f>"১৩০৩০৬১৮১৫৭৬"</f>
        <v>১৩০৩০৬১৮১৫৭৬</v>
      </c>
      <c r="H2442" s="75" t="s">
        <v>371</v>
      </c>
      <c r="I2442" s="75" t="s">
        <v>371</v>
      </c>
      <c r="J2442" s="5"/>
    </row>
    <row r="2443" spans="1:10" x14ac:dyDescent="0.25">
      <c r="A2443" s="39">
        <v>2442</v>
      </c>
      <c r="B2443" s="3" t="s">
        <v>3147</v>
      </c>
      <c r="C2443" s="75" t="s">
        <v>1649</v>
      </c>
      <c r="D2443" s="75" t="s">
        <v>1360</v>
      </c>
      <c r="E2443" s="75" t="str">
        <f t="shared" si="49"/>
        <v>০</v>
      </c>
      <c r="F2443" s="22" t="str">
        <f>"8119457713849"</f>
        <v>8119457713849</v>
      </c>
      <c r="G2443" s="75" t="str">
        <f>"১৩০৩০৬১৮১৫৭৯"</f>
        <v>১৩০৩০৬১৮১৫৭৯</v>
      </c>
      <c r="H2443" s="75" t="s">
        <v>371</v>
      </c>
      <c r="I2443" s="75" t="s">
        <v>371</v>
      </c>
      <c r="J2443" s="5"/>
    </row>
    <row r="2444" spans="1:10" x14ac:dyDescent="0.25">
      <c r="A2444" s="39">
        <v>2443</v>
      </c>
      <c r="B2444" s="3" t="s">
        <v>3148</v>
      </c>
      <c r="C2444" s="75" t="s">
        <v>3149</v>
      </c>
      <c r="D2444" s="75" t="s">
        <v>1372</v>
      </c>
      <c r="E2444" s="75" t="str">
        <f t="shared" si="49"/>
        <v>০</v>
      </c>
      <c r="F2444" s="22" t="str">
        <f>"8119457813145"</f>
        <v>8119457813145</v>
      </c>
      <c r="G2444" s="75" t="str">
        <f>"১৩০৩০৬১৮১৫৮৮"</f>
        <v>১৩০৩০৬১৮১৫৮৮</v>
      </c>
      <c r="H2444" s="75" t="s">
        <v>371</v>
      </c>
      <c r="I2444" s="75" t="s">
        <v>371</v>
      </c>
      <c r="J2444" s="5"/>
    </row>
    <row r="2445" spans="1:10" x14ac:dyDescent="0.25">
      <c r="A2445" s="39">
        <v>2444</v>
      </c>
      <c r="B2445" s="3" t="s">
        <v>3150</v>
      </c>
      <c r="C2445" s="75" t="s">
        <v>1472</v>
      </c>
      <c r="D2445" s="75" t="s">
        <v>1363</v>
      </c>
      <c r="E2445" s="75" t="str">
        <f t="shared" si="49"/>
        <v>০</v>
      </c>
      <c r="F2445" s="22" t="str">
        <f>"8119457832275"</f>
        <v>8119457832275</v>
      </c>
      <c r="G2445" s="75" t="str">
        <f>"১৩০৩০৬১৮১৫৮৯"</f>
        <v>১৩০৩০৬১৮১৫৮৯</v>
      </c>
      <c r="H2445" s="75" t="s">
        <v>371</v>
      </c>
      <c r="I2445" s="75" t="s">
        <v>371</v>
      </c>
      <c r="J2445" s="5"/>
    </row>
    <row r="2446" spans="1:10" x14ac:dyDescent="0.25">
      <c r="A2446" s="39">
        <v>2445</v>
      </c>
      <c r="B2446" s="3" t="s">
        <v>3151</v>
      </c>
      <c r="C2446" s="75" t="s">
        <v>2273</v>
      </c>
      <c r="D2446" s="75" t="s">
        <v>1370</v>
      </c>
      <c r="E2446" s="75" t="str">
        <f t="shared" si="49"/>
        <v>০</v>
      </c>
      <c r="F2446" s="22" t="str">
        <f>"8119457814403"</f>
        <v>8119457814403</v>
      </c>
      <c r="G2446" s="75" t="str">
        <f>"১৩০৩০৬১৮১৫৮২"</f>
        <v>১৩০৩০৬১৮১৫৮২</v>
      </c>
      <c r="H2446" s="75" t="s">
        <v>371</v>
      </c>
      <c r="I2446" s="75" t="s">
        <v>371</v>
      </c>
      <c r="J2446" s="5"/>
    </row>
    <row r="2447" spans="1:10" x14ac:dyDescent="0.25">
      <c r="A2447" s="39">
        <v>2446</v>
      </c>
      <c r="B2447" s="3" t="s">
        <v>1721</v>
      </c>
      <c r="C2447" s="75" t="s">
        <v>3152</v>
      </c>
      <c r="D2447" s="75" t="s">
        <v>1473</v>
      </c>
      <c r="E2447" s="75" t="str">
        <f t="shared" si="49"/>
        <v>০</v>
      </c>
      <c r="F2447" s="22" t="str">
        <f>"8119457832508"</f>
        <v>8119457832508</v>
      </c>
      <c r="G2447" s="75" t="str">
        <f>"১৭০৩"</f>
        <v>১৭০৩</v>
      </c>
      <c r="H2447" s="75" t="s">
        <v>322</v>
      </c>
      <c r="I2447" s="75" t="s">
        <v>322</v>
      </c>
      <c r="J2447" s="5"/>
    </row>
    <row r="2448" spans="1:10" x14ac:dyDescent="0.25">
      <c r="A2448" s="39">
        <v>2447</v>
      </c>
      <c r="B2448" s="3" t="s">
        <v>1983</v>
      </c>
      <c r="C2448" s="75" t="s">
        <v>2491</v>
      </c>
      <c r="D2448" s="75" t="s">
        <v>1473</v>
      </c>
      <c r="E2448" s="75" t="str">
        <f>"০১৭৪১৬২১৮২০"</f>
        <v>০১৭৪১৬২১৮২০</v>
      </c>
      <c r="F2448" s="22" t="str">
        <f>"8119457832590"</f>
        <v>8119457832590</v>
      </c>
      <c r="G2448" s="75" t="str">
        <f>"১৭০২"</f>
        <v>১৭০২</v>
      </c>
      <c r="H2448" s="75" t="s">
        <v>371</v>
      </c>
      <c r="I2448" s="75" t="s">
        <v>371</v>
      </c>
      <c r="J2448" s="5"/>
    </row>
    <row r="2449" spans="1:10" x14ac:dyDescent="0.25">
      <c r="A2449" s="39">
        <v>2448</v>
      </c>
      <c r="B2449" s="3" t="s">
        <v>1546</v>
      </c>
      <c r="C2449" s="75" t="s">
        <v>3153</v>
      </c>
      <c r="D2449" s="75" t="s">
        <v>1473</v>
      </c>
      <c r="E2449" s="75" t="str">
        <f t="shared" ref="E2449:E2454" si="50">"০"</f>
        <v>০</v>
      </c>
      <c r="F2449" s="22" t="str">
        <f>"8119457832593"</f>
        <v>8119457832593</v>
      </c>
      <c r="G2449" s="75" t="str">
        <f>"১৭০১"</f>
        <v>১৭০১</v>
      </c>
      <c r="H2449" s="75" t="s">
        <v>329</v>
      </c>
      <c r="I2449" s="75" t="s">
        <v>329</v>
      </c>
      <c r="J2449" s="5"/>
    </row>
    <row r="2450" spans="1:10" x14ac:dyDescent="0.25">
      <c r="A2450" s="39">
        <v>2449</v>
      </c>
      <c r="B2450" s="3" t="s">
        <v>2628</v>
      </c>
      <c r="C2450" s="75" t="s">
        <v>3154</v>
      </c>
      <c r="D2450" s="75" t="s">
        <v>1473</v>
      </c>
      <c r="E2450" s="75" t="str">
        <f t="shared" si="50"/>
        <v>০</v>
      </c>
      <c r="F2450" s="22" t="str">
        <f>"8119457832"</f>
        <v>8119457832</v>
      </c>
      <c r="G2450" s="75" t="str">
        <f>"১৬৯৮"</f>
        <v>১৬৯৮</v>
      </c>
      <c r="H2450" s="75" t="s">
        <v>319</v>
      </c>
      <c r="I2450" s="75" t="s">
        <v>319</v>
      </c>
      <c r="J2450" s="5"/>
    </row>
    <row r="2451" spans="1:10" x14ac:dyDescent="0.25">
      <c r="A2451" s="39">
        <v>2450</v>
      </c>
      <c r="B2451" s="3" t="s">
        <v>3155</v>
      </c>
      <c r="C2451" s="75" t="s">
        <v>3156</v>
      </c>
      <c r="D2451" s="75" t="s">
        <v>1473</v>
      </c>
      <c r="E2451" s="75" t="str">
        <f t="shared" si="50"/>
        <v>০</v>
      </c>
      <c r="F2451" s="22" t="str">
        <f>"8119457832541"</f>
        <v>8119457832541</v>
      </c>
      <c r="G2451" s="75" t="str">
        <f>"১৬৯৭"</f>
        <v>১৬৯৭</v>
      </c>
      <c r="H2451" s="75" t="s">
        <v>319</v>
      </c>
      <c r="I2451" s="75" t="s">
        <v>319</v>
      </c>
      <c r="J2451" s="5"/>
    </row>
    <row r="2452" spans="1:10" x14ac:dyDescent="0.25">
      <c r="A2452" s="39">
        <v>2451</v>
      </c>
      <c r="B2452" s="3" t="s">
        <v>3157</v>
      </c>
      <c r="C2452" s="75" t="s">
        <v>3158</v>
      </c>
      <c r="D2452" s="75" t="s">
        <v>1474</v>
      </c>
      <c r="E2452" s="75" t="str">
        <f t="shared" si="50"/>
        <v>০</v>
      </c>
      <c r="F2452" s="22" t="str">
        <f>"8119457832356"</f>
        <v>8119457832356</v>
      </c>
      <c r="G2452" s="75" t="str">
        <f>"১৬২৭"</f>
        <v>১৬২৭</v>
      </c>
      <c r="H2452" s="75" t="s">
        <v>319</v>
      </c>
      <c r="I2452" s="75" t="s">
        <v>319</v>
      </c>
      <c r="J2452" s="5"/>
    </row>
    <row r="2453" spans="1:10" x14ac:dyDescent="0.25">
      <c r="A2453" s="39">
        <v>2452</v>
      </c>
      <c r="B2453" s="3" t="s">
        <v>3159</v>
      </c>
      <c r="C2453" s="75" t="s">
        <v>3160</v>
      </c>
      <c r="D2453" s="75" t="s">
        <v>1474</v>
      </c>
      <c r="E2453" s="75" t="str">
        <f t="shared" si="50"/>
        <v>০</v>
      </c>
      <c r="F2453" s="22" t="str">
        <f>"8119457832411"</f>
        <v>8119457832411</v>
      </c>
      <c r="G2453" s="75" t="str">
        <f>"১৬২৬"</f>
        <v>১৬২৬</v>
      </c>
      <c r="H2453" s="75" t="s">
        <v>322</v>
      </c>
      <c r="I2453" s="75" t="s">
        <v>322</v>
      </c>
      <c r="J2453" s="5"/>
    </row>
    <row r="2454" spans="1:10" x14ac:dyDescent="0.25">
      <c r="A2454" s="39">
        <v>2453</v>
      </c>
      <c r="B2454" s="3" t="s">
        <v>3161</v>
      </c>
      <c r="C2454" s="75" t="s">
        <v>3162</v>
      </c>
      <c r="D2454" s="75" t="s">
        <v>1363</v>
      </c>
      <c r="E2454" s="75" t="str">
        <f t="shared" si="50"/>
        <v>০</v>
      </c>
      <c r="F2454" s="22" t="str">
        <f>"8119457832161"</f>
        <v>8119457832161</v>
      </c>
      <c r="G2454" s="75" t="str">
        <f>"১৬২৫"</f>
        <v>১৬২৫</v>
      </c>
      <c r="H2454" s="75" t="s">
        <v>371</v>
      </c>
      <c r="I2454" s="75" t="s">
        <v>371</v>
      </c>
      <c r="J2454" s="5"/>
    </row>
    <row r="2455" spans="1:10" x14ac:dyDescent="0.25">
      <c r="A2455" s="39">
        <v>2454</v>
      </c>
      <c r="B2455" s="3" t="s">
        <v>2300</v>
      </c>
      <c r="C2455" s="75" t="s">
        <v>1547</v>
      </c>
      <c r="D2455" s="75" t="s">
        <v>1363</v>
      </c>
      <c r="E2455" s="75" t="str">
        <f>"০১৭৪৯৮৬৫৯৮১"</f>
        <v>০১৭৪৯৮৬৫৯৮১</v>
      </c>
      <c r="F2455" s="22" t="str">
        <f>"8119457832431"</f>
        <v>8119457832431</v>
      </c>
      <c r="G2455" s="75" t="str">
        <f>"১৬২৪"</f>
        <v>১৬২৪</v>
      </c>
      <c r="H2455" s="75" t="s">
        <v>319</v>
      </c>
      <c r="I2455" s="75" t="s">
        <v>319</v>
      </c>
      <c r="J2455" s="5"/>
    </row>
    <row r="2456" spans="1:10" x14ac:dyDescent="0.25">
      <c r="A2456" s="39">
        <v>2455</v>
      </c>
      <c r="B2456" s="3" t="s">
        <v>3163</v>
      </c>
      <c r="C2456" s="75" t="s">
        <v>2253</v>
      </c>
      <c r="D2456" s="75" t="s">
        <v>1363</v>
      </c>
      <c r="E2456" s="75" t="str">
        <f>"০১৭২১২০৫৪৬৮"</f>
        <v>০১৭২১২০৫৪৬৮</v>
      </c>
      <c r="F2456" s="22" t="str">
        <f>"8119457832180"</f>
        <v>8119457832180</v>
      </c>
      <c r="G2456" s="75" t="str">
        <f>"১৬২৩"</f>
        <v>১৬২৩</v>
      </c>
      <c r="H2456" s="75" t="s">
        <v>322</v>
      </c>
      <c r="I2456" s="75" t="s">
        <v>322</v>
      </c>
      <c r="J2456" s="5"/>
    </row>
    <row r="2457" spans="1:10" x14ac:dyDescent="0.25">
      <c r="A2457" s="39">
        <v>2456</v>
      </c>
      <c r="B2457" s="3" t="s">
        <v>1687</v>
      </c>
      <c r="C2457" s="75" t="s">
        <v>1842</v>
      </c>
      <c r="D2457" s="75" t="s">
        <v>1363</v>
      </c>
      <c r="E2457" s="75" t="str">
        <f>"০১৭১৪৩৩৪২১৩"</f>
        <v>০১৭১৪৩৩৪২১৩</v>
      </c>
      <c r="F2457" s="22" t="str">
        <f>"8119457832163"</f>
        <v>8119457832163</v>
      </c>
      <c r="G2457" s="75" t="str">
        <f>"১৬২২"</f>
        <v>১৬২২</v>
      </c>
      <c r="H2457" s="75" t="s">
        <v>319</v>
      </c>
      <c r="I2457" s="75" t="s">
        <v>319</v>
      </c>
      <c r="J2457" s="5"/>
    </row>
    <row r="2458" spans="1:10" x14ac:dyDescent="0.25">
      <c r="A2458" s="39">
        <v>2457</v>
      </c>
      <c r="B2458" s="3" t="s">
        <v>3164</v>
      </c>
      <c r="C2458" s="75" t="s">
        <v>3165</v>
      </c>
      <c r="D2458" s="75" t="s">
        <v>1363</v>
      </c>
      <c r="E2458" s="75" t="str">
        <f>"০১৭৪৮১১৯২১৭"</f>
        <v>০১৭৪৮১১৯২১৭</v>
      </c>
      <c r="F2458" s="22" t="str">
        <f>"8119457834827"</f>
        <v>8119457834827</v>
      </c>
      <c r="G2458" s="75" t="str">
        <f>"১৬২১"</f>
        <v>১৬২১</v>
      </c>
      <c r="H2458" s="75" t="s">
        <v>319</v>
      </c>
      <c r="I2458" s="75" t="s">
        <v>319</v>
      </c>
      <c r="J2458" s="5"/>
    </row>
    <row r="2459" spans="1:10" x14ac:dyDescent="0.25">
      <c r="A2459" s="39">
        <v>2458</v>
      </c>
      <c r="B2459" s="3" t="s">
        <v>2604</v>
      </c>
      <c r="C2459" s="75" t="s">
        <v>3166</v>
      </c>
      <c r="D2459" s="75" t="s">
        <v>1363</v>
      </c>
      <c r="E2459" s="75" t="str">
        <f>"০১৭১৪৯৪৩২০৭"</f>
        <v>০১৭১৪৯৪৩২০৭</v>
      </c>
      <c r="F2459" s="22" t="str">
        <f>"8119457832260"</f>
        <v>8119457832260</v>
      </c>
      <c r="G2459" s="75" t="str">
        <f>"১৬২০"</f>
        <v>১৬২০</v>
      </c>
      <c r="H2459" s="75" t="s">
        <v>322</v>
      </c>
      <c r="I2459" s="75" t="s">
        <v>322</v>
      </c>
      <c r="J2459" s="5"/>
    </row>
    <row r="2460" spans="1:10" x14ac:dyDescent="0.25">
      <c r="A2460" s="39">
        <v>2459</v>
      </c>
      <c r="B2460" s="3" t="s">
        <v>1958</v>
      </c>
      <c r="C2460" s="75" t="s">
        <v>3167</v>
      </c>
      <c r="D2460" s="75" t="s">
        <v>1363</v>
      </c>
      <c r="E2460" s="75" t="str">
        <f>"০"</f>
        <v>০</v>
      </c>
      <c r="F2460" s="22" t="str">
        <f>"8119457832267"</f>
        <v>8119457832267</v>
      </c>
      <c r="G2460" s="75" t="str">
        <f>"১৬১৯"</f>
        <v>১৬১৯</v>
      </c>
      <c r="H2460" s="75" t="s">
        <v>371</v>
      </c>
      <c r="I2460" s="75" t="s">
        <v>371</v>
      </c>
      <c r="J2460" s="5"/>
    </row>
    <row r="2461" spans="1:10" x14ac:dyDescent="0.25">
      <c r="A2461" s="39">
        <v>2460</v>
      </c>
      <c r="B2461" s="3" t="s">
        <v>3168</v>
      </c>
      <c r="C2461" s="75" t="s">
        <v>3169</v>
      </c>
      <c r="D2461" s="75" t="s">
        <v>1363</v>
      </c>
      <c r="E2461" s="75" t="str">
        <f>"০"</f>
        <v>০</v>
      </c>
      <c r="F2461" s="22" t="str">
        <f>"8119457832275"</f>
        <v>8119457832275</v>
      </c>
      <c r="G2461" s="75" t="str">
        <f>"১৬১৮"</f>
        <v>১৬১৮</v>
      </c>
      <c r="H2461" s="75" t="s">
        <v>371</v>
      </c>
      <c r="I2461" s="75" t="s">
        <v>371</v>
      </c>
      <c r="J2461" s="5"/>
    </row>
    <row r="2462" spans="1:10" x14ac:dyDescent="0.25">
      <c r="A2462" s="39">
        <v>2461</v>
      </c>
      <c r="B2462" s="3" t="s">
        <v>3150</v>
      </c>
      <c r="C2462" s="75" t="s">
        <v>3170</v>
      </c>
      <c r="D2462" s="75" t="s">
        <v>1363</v>
      </c>
      <c r="E2462" s="75" t="str">
        <f>"০"</f>
        <v>০</v>
      </c>
      <c r="F2462" s="22" t="str">
        <f>"8119457832345"</f>
        <v>8119457832345</v>
      </c>
      <c r="G2462" s="75" t="str">
        <f>"১৬১৭"</f>
        <v>১৬১৭</v>
      </c>
      <c r="H2462" s="75" t="s">
        <v>315</v>
      </c>
      <c r="I2462" s="75" t="s">
        <v>315</v>
      </c>
      <c r="J2462" s="5"/>
    </row>
    <row r="2463" spans="1:10" x14ac:dyDescent="0.25">
      <c r="A2463" s="39">
        <v>2462</v>
      </c>
      <c r="B2463" s="3" t="s">
        <v>2206</v>
      </c>
      <c r="C2463" s="75" t="s">
        <v>3171</v>
      </c>
      <c r="D2463" s="75" t="s">
        <v>1363</v>
      </c>
      <c r="E2463" s="75" t="str">
        <f>"০"</f>
        <v>০</v>
      </c>
      <c r="F2463" s="22" t="str">
        <f>"8119457832833"</f>
        <v>8119457832833</v>
      </c>
      <c r="G2463" s="75" t="str">
        <f>"১৬১৬"</f>
        <v>১৬১৬</v>
      </c>
      <c r="H2463" s="75" t="s">
        <v>319</v>
      </c>
      <c r="I2463" s="75" t="s">
        <v>319</v>
      </c>
      <c r="J2463" s="5"/>
    </row>
    <row r="2464" spans="1:10" x14ac:dyDescent="0.25">
      <c r="A2464" s="39">
        <v>2463</v>
      </c>
      <c r="B2464" s="3" t="s">
        <v>2477</v>
      </c>
      <c r="C2464" s="75" t="s">
        <v>3172</v>
      </c>
      <c r="D2464" s="75" t="s">
        <v>1363</v>
      </c>
      <c r="E2464" s="75" t="str">
        <f>"০১৭৭০৭৮৯৩৫৫"</f>
        <v>০১৭৭০৭৮৯৩৫৫</v>
      </c>
      <c r="F2464" s="22" t="str">
        <f>"8119457832448"</f>
        <v>8119457832448</v>
      </c>
      <c r="G2464" s="75" t="str">
        <f>"১৬১৫"</f>
        <v>১৬১৫</v>
      </c>
      <c r="H2464" s="75" t="s">
        <v>319</v>
      </c>
      <c r="I2464" s="75" t="s">
        <v>319</v>
      </c>
      <c r="J2464" s="5"/>
    </row>
    <row r="2465" spans="1:10" x14ac:dyDescent="0.25">
      <c r="A2465" s="39">
        <v>2464</v>
      </c>
      <c r="B2465" s="3" t="s">
        <v>1696</v>
      </c>
      <c r="C2465" s="75" t="s">
        <v>3173</v>
      </c>
      <c r="D2465" s="75" t="s">
        <v>1363</v>
      </c>
      <c r="E2465" s="75" t="str">
        <f>"০১৭২২৫০৪৩১৭"</f>
        <v>০১৭২২৫০৪৩১৭</v>
      </c>
      <c r="F2465" s="22" t="str">
        <f>"8119457832251"</f>
        <v>8119457832251</v>
      </c>
      <c r="G2465" s="75" t="str">
        <f>"১৬১৪"</f>
        <v>১৬১৪</v>
      </c>
      <c r="H2465" s="75" t="s">
        <v>371</v>
      </c>
      <c r="I2465" s="75" t="s">
        <v>371</v>
      </c>
      <c r="J2465" s="5"/>
    </row>
    <row r="2466" spans="1:10" x14ac:dyDescent="0.25">
      <c r="A2466" s="39">
        <v>2465</v>
      </c>
      <c r="B2466" s="3" t="s">
        <v>3174</v>
      </c>
      <c r="C2466" s="75" t="s">
        <v>3175</v>
      </c>
      <c r="D2466" s="75" t="s">
        <v>1363</v>
      </c>
      <c r="E2466" s="75" t="str">
        <f>"০১৭৭৩২৪৮৫৩১"</f>
        <v>০১৭৭৩২৪৮৫৩১</v>
      </c>
      <c r="F2466" s="22" t="str">
        <f>"8119457832351"</f>
        <v>8119457832351</v>
      </c>
      <c r="G2466" s="75" t="str">
        <f>"১৬১৩"</f>
        <v>১৬১৩</v>
      </c>
      <c r="H2466" s="75" t="s">
        <v>329</v>
      </c>
      <c r="I2466" s="75" t="s">
        <v>329</v>
      </c>
      <c r="J2466" s="5"/>
    </row>
    <row r="2467" spans="1:10" x14ac:dyDescent="0.25">
      <c r="A2467" s="39">
        <v>2466</v>
      </c>
      <c r="B2467" s="3" t="s">
        <v>3176</v>
      </c>
      <c r="C2467" s="75" t="s">
        <v>3177</v>
      </c>
      <c r="D2467" s="75" t="s">
        <v>1363</v>
      </c>
      <c r="E2467" s="75" t="str">
        <f t="shared" ref="E2467:E2474" si="51">"০"</f>
        <v>০</v>
      </c>
      <c r="F2467" s="22" t="str">
        <f>"8119457832136"</f>
        <v>8119457832136</v>
      </c>
      <c r="G2467" s="75" t="str">
        <f>"১৬১২"</f>
        <v>১৬১২</v>
      </c>
      <c r="H2467" s="75" t="s">
        <v>322</v>
      </c>
      <c r="I2467" s="75" t="s">
        <v>322</v>
      </c>
      <c r="J2467" s="5"/>
    </row>
    <row r="2468" spans="1:10" x14ac:dyDescent="0.25">
      <c r="A2468" s="39">
        <v>2467</v>
      </c>
      <c r="B2468" s="3" t="s">
        <v>3178</v>
      </c>
      <c r="C2468" s="75" t="s">
        <v>3179</v>
      </c>
      <c r="D2468" s="75" t="s">
        <v>1363</v>
      </c>
      <c r="E2468" s="75" t="str">
        <f t="shared" si="51"/>
        <v>০</v>
      </c>
      <c r="F2468" s="22" t="str">
        <f>"8119457832844"</f>
        <v>8119457832844</v>
      </c>
      <c r="G2468" s="75" t="str">
        <f>"১৬১১"</f>
        <v>১৬১১</v>
      </c>
      <c r="H2468" s="75" t="s">
        <v>319</v>
      </c>
      <c r="I2468" s="75" t="s">
        <v>319</v>
      </c>
      <c r="J2468" s="5"/>
    </row>
    <row r="2469" spans="1:10" x14ac:dyDescent="0.25">
      <c r="A2469" s="39">
        <v>2468</v>
      </c>
      <c r="B2469" s="3" t="s">
        <v>2254</v>
      </c>
      <c r="C2469" s="75" t="s">
        <v>3180</v>
      </c>
      <c r="D2469" s="75" t="s">
        <v>1363</v>
      </c>
      <c r="E2469" s="75" t="str">
        <f t="shared" si="51"/>
        <v>০</v>
      </c>
      <c r="F2469" s="22" t="str">
        <f>"8119457832144"</f>
        <v>8119457832144</v>
      </c>
      <c r="G2469" s="75" t="str">
        <f>"১৬১০"</f>
        <v>১৬১০</v>
      </c>
      <c r="H2469" s="75" t="s">
        <v>330</v>
      </c>
      <c r="I2469" s="75" t="s">
        <v>330</v>
      </c>
      <c r="J2469" s="5"/>
    </row>
    <row r="2470" spans="1:10" x14ac:dyDescent="0.25">
      <c r="A2470" s="39">
        <v>2469</v>
      </c>
      <c r="B2470" s="3" t="s">
        <v>2261</v>
      </c>
      <c r="C2470" s="75" t="s">
        <v>3181</v>
      </c>
      <c r="D2470" s="75" t="s">
        <v>1363</v>
      </c>
      <c r="E2470" s="75" t="str">
        <f t="shared" si="51"/>
        <v>০</v>
      </c>
      <c r="F2470" s="22" t="str">
        <f>"8119457832268"</f>
        <v>8119457832268</v>
      </c>
      <c r="G2470" s="75" t="str">
        <f>"১৬০৯"</f>
        <v>১৬০৯</v>
      </c>
      <c r="H2470" s="75" t="s">
        <v>329</v>
      </c>
      <c r="I2470" s="75" t="s">
        <v>329</v>
      </c>
      <c r="J2470" s="5"/>
    </row>
    <row r="2471" spans="1:10" x14ac:dyDescent="0.25">
      <c r="A2471" s="39">
        <v>2470</v>
      </c>
      <c r="B2471" s="3" t="s">
        <v>3182</v>
      </c>
      <c r="C2471" s="75" t="s">
        <v>2272</v>
      </c>
      <c r="D2471" s="75" t="s">
        <v>1363</v>
      </c>
      <c r="E2471" s="75" t="str">
        <f t="shared" si="51"/>
        <v>০</v>
      </c>
      <c r="F2471" s="22" t="str">
        <f>"8119457832314"</f>
        <v>8119457832314</v>
      </c>
      <c r="G2471" s="75" t="str">
        <f>"১৬০৮"</f>
        <v>১৬০৮</v>
      </c>
      <c r="H2471" s="75" t="s">
        <v>322</v>
      </c>
      <c r="I2471" s="75" t="s">
        <v>322</v>
      </c>
      <c r="J2471" s="5"/>
    </row>
    <row r="2472" spans="1:10" x14ac:dyDescent="0.25">
      <c r="A2472" s="39">
        <v>2471</v>
      </c>
      <c r="B2472" s="3" t="s">
        <v>2802</v>
      </c>
      <c r="C2472" s="75" t="s">
        <v>1824</v>
      </c>
      <c r="D2472" s="75" t="s">
        <v>1363</v>
      </c>
      <c r="E2472" s="75" t="str">
        <f t="shared" si="51"/>
        <v>০</v>
      </c>
      <c r="F2472" s="22" t="str">
        <f>"8119457832266"</f>
        <v>8119457832266</v>
      </c>
      <c r="G2472" s="75" t="str">
        <f>"১৬০৭"</f>
        <v>১৬০৭</v>
      </c>
      <c r="H2472" s="75" t="s">
        <v>319</v>
      </c>
      <c r="I2472" s="75" t="s">
        <v>319</v>
      </c>
      <c r="J2472" s="5"/>
    </row>
    <row r="2473" spans="1:10" x14ac:dyDescent="0.25">
      <c r="A2473" s="39">
        <v>2472</v>
      </c>
      <c r="B2473" s="3" t="s">
        <v>2000</v>
      </c>
      <c r="C2473" s="75" t="s">
        <v>3183</v>
      </c>
      <c r="D2473" s="75" t="s">
        <v>1363</v>
      </c>
      <c r="E2473" s="75" t="str">
        <f t="shared" si="51"/>
        <v>০</v>
      </c>
      <c r="F2473" s="22" t="str">
        <f>"8119457832342"</f>
        <v>8119457832342</v>
      </c>
      <c r="G2473" s="75" t="str">
        <f>"১৬০৬"</f>
        <v>১৬০৬</v>
      </c>
      <c r="H2473" s="75" t="s">
        <v>456</v>
      </c>
      <c r="I2473" s="75" t="s">
        <v>456</v>
      </c>
      <c r="J2473" s="5"/>
    </row>
    <row r="2474" spans="1:10" x14ac:dyDescent="0.25">
      <c r="A2474" s="39">
        <v>2473</v>
      </c>
      <c r="B2474" s="3" t="s">
        <v>3184</v>
      </c>
      <c r="C2474" s="75" t="s">
        <v>2314</v>
      </c>
      <c r="D2474" s="75" t="s">
        <v>1363</v>
      </c>
      <c r="E2474" s="75" t="str">
        <f t="shared" si="51"/>
        <v>০</v>
      </c>
      <c r="F2474" s="22" t="str">
        <f>"8119457832338"</f>
        <v>8119457832338</v>
      </c>
      <c r="G2474" s="75" t="str">
        <f>"১৬০৫"</f>
        <v>১৬০৫</v>
      </c>
      <c r="H2474" s="75" t="s">
        <v>1394</v>
      </c>
      <c r="I2474" s="75" t="s">
        <v>1394</v>
      </c>
      <c r="J2474" s="5"/>
    </row>
    <row r="2475" spans="1:10" x14ac:dyDescent="0.25">
      <c r="A2475" s="39">
        <v>2474</v>
      </c>
      <c r="B2475" s="3" t="s">
        <v>1603</v>
      </c>
      <c r="C2475" s="75" t="s">
        <v>3185</v>
      </c>
      <c r="D2475" s="75" t="s">
        <v>1363</v>
      </c>
      <c r="E2475" s="75" t="str">
        <f>"০১৭১৯৫৩৩৩২৭"</f>
        <v>০১৭১৯৫৩৩৩২৭</v>
      </c>
      <c r="F2475" s="22" t="str">
        <f>"8119457832843"</f>
        <v>8119457832843</v>
      </c>
      <c r="G2475" s="75" t="str">
        <f>"১৬০৪"</f>
        <v>১৬০৪</v>
      </c>
      <c r="H2475" s="75" t="s">
        <v>319</v>
      </c>
      <c r="I2475" s="75" t="s">
        <v>319</v>
      </c>
      <c r="J2475" s="5"/>
    </row>
    <row r="2476" spans="1:10" x14ac:dyDescent="0.25">
      <c r="A2476" s="39">
        <v>2475</v>
      </c>
      <c r="B2476" s="3" t="s">
        <v>1982</v>
      </c>
      <c r="C2476" s="75" t="s">
        <v>1721</v>
      </c>
      <c r="D2476" s="75" t="s">
        <v>1363</v>
      </c>
      <c r="E2476" s="75" t="str">
        <f>"০১৭২০১৯২২৮৩"</f>
        <v>০১৭২০১৯২২৮৩</v>
      </c>
      <c r="F2476" s="22" t="str">
        <f>"8119457832443"</f>
        <v>8119457832443</v>
      </c>
      <c r="G2476" s="75" t="str">
        <f>"১৬০৩"</f>
        <v>১৬০৩</v>
      </c>
      <c r="H2476" s="75" t="s">
        <v>456</v>
      </c>
      <c r="I2476" s="75" t="s">
        <v>456</v>
      </c>
      <c r="J2476" s="5"/>
    </row>
    <row r="2477" spans="1:10" x14ac:dyDescent="0.25">
      <c r="A2477" s="39">
        <v>2476</v>
      </c>
      <c r="B2477" s="3" t="s">
        <v>3077</v>
      </c>
      <c r="C2477" s="75" t="s">
        <v>3186</v>
      </c>
      <c r="D2477" s="75" t="s">
        <v>1363</v>
      </c>
      <c r="E2477" s="75" t="str">
        <f>"০১৭৩০৯৬৮১২৭"</f>
        <v>০১৭৩০৯৬৮১২৭</v>
      </c>
      <c r="F2477" s="22" t="str">
        <f>"8119457832337"</f>
        <v>8119457832337</v>
      </c>
      <c r="G2477" s="75" t="str">
        <f>"১৬০২"</f>
        <v>১৬০২</v>
      </c>
      <c r="H2477" s="75" t="s">
        <v>4292</v>
      </c>
      <c r="I2477" s="75" t="s">
        <v>4291</v>
      </c>
      <c r="J2477" s="5"/>
    </row>
    <row r="2478" spans="1:10" x14ac:dyDescent="0.25">
      <c r="A2478" s="39">
        <v>2477</v>
      </c>
      <c r="B2478" s="3" t="s">
        <v>1579</v>
      </c>
      <c r="C2478" s="75" t="s">
        <v>3187</v>
      </c>
      <c r="D2478" s="75" t="s">
        <v>1363</v>
      </c>
      <c r="E2478" s="75" t="str">
        <f>"০১৭৮৮০৪৬০৩৫"</f>
        <v>০১৭৮৮০৪৬০৩৫</v>
      </c>
      <c r="F2478" s="22" t="str">
        <f>"8119457832382"</f>
        <v>8119457832382</v>
      </c>
      <c r="G2478" s="75" t="str">
        <f>"১৬০১"</f>
        <v>১৬০১</v>
      </c>
      <c r="H2478" s="75" t="s">
        <v>319</v>
      </c>
      <c r="I2478" s="75" t="s">
        <v>319</v>
      </c>
      <c r="J2478" s="5"/>
    </row>
    <row r="2479" spans="1:10" x14ac:dyDescent="0.25">
      <c r="A2479" s="39">
        <v>2478</v>
      </c>
      <c r="B2479" s="3" t="s">
        <v>1791</v>
      </c>
      <c r="C2479" s="75" t="s">
        <v>3188</v>
      </c>
      <c r="D2479" s="75" t="s">
        <v>1354</v>
      </c>
      <c r="E2479" s="75" t="str">
        <f>"০"</f>
        <v>০</v>
      </c>
      <c r="F2479" s="22" t="str">
        <f>"8119457833037"</f>
        <v>8119457833037</v>
      </c>
      <c r="G2479" s="75" t="str">
        <f>"১৪৫৩"</f>
        <v>১৪৫৩</v>
      </c>
      <c r="H2479" s="75" t="s">
        <v>322</v>
      </c>
      <c r="I2479" s="75" t="s">
        <v>322</v>
      </c>
      <c r="J2479" s="5"/>
    </row>
    <row r="2480" spans="1:10" x14ac:dyDescent="0.25">
      <c r="A2480" s="39">
        <v>2479</v>
      </c>
      <c r="B2480" s="3" t="s">
        <v>3189</v>
      </c>
      <c r="C2480" s="75" t="s">
        <v>3190</v>
      </c>
      <c r="D2480" s="75" t="s">
        <v>1354</v>
      </c>
      <c r="E2480" s="75" t="str">
        <f>"০১৭৬১১৩৬৫১৪"</f>
        <v>০১৭৬১১৩৬৫১৪</v>
      </c>
      <c r="F2480" s="22" t="str">
        <f>"8119457832680"</f>
        <v>8119457832680</v>
      </c>
      <c r="G2480" s="75" t="str">
        <f>"১৪৫২"</f>
        <v>১৪৫২</v>
      </c>
      <c r="H2480" s="75" t="s">
        <v>364</v>
      </c>
      <c r="I2480" s="75" t="s">
        <v>364</v>
      </c>
      <c r="J2480" s="5"/>
    </row>
    <row r="2481" spans="1:10" x14ac:dyDescent="0.25">
      <c r="A2481" s="39">
        <v>2480</v>
      </c>
      <c r="B2481" s="3" t="s">
        <v>2267</v>
      </c>
      <c r="C2481" s="75" t="s">
        <v>3191</v>
      </c>
      <c r="D2481" s="75" t="s">
        <v>1354</v>
      </c>
      <c r="E2481" s="75" t="str">
        <f>"০১৭২৫৯৫৬০৩৭"</f>
        <v>০১৭২৫৯৫৬০৩৭</v>
      </c>
      <c r="F2481" s="22" t="str">
        <f>"8119457833107"</f>
        <v>8119457833107</v>
      </c>
      <c r="G2481" s="75" t="str">
        <f>"১৪৫১"</f>
        <v>১৪৫১</v>
      </c>
      <c r="H2481" s="75" t="s">
        <v>319</v>
      </c>
      <c r="I2481" s="75" t="s">
        <v>319</v>
      </c>
      <c r="J2481" s="5"/>
    </row>
    <row r="2482" spans="1:10" x14ac:dyDescent="0.25">
      <c r="A2482" s="39">
        <v>2481</v>
      </c>
      <c r="B2482" s="3" t="s">
        <v>1563</v>
      </c>
      <c r="C2482" s="75" t="s">
        <v>1565</v>
      </c>
      <c r="D2482" s="75" t="s">
        <v>1354</v>
      </c>
      <c r="E2482" s="75" t="str">
        <f>"০১৭৩৮৬৮০৫০২"</f>
        <v>০১৭৩৮৬৮০৫০২</v>
      </c>
      <c r="F2482" s="22" t="str">
        <f>"8119457833011"</f>
        <v>8119457833011</v>
      </c>
      <c r="G2482" s="75" t="str">
        <f>"১৪৫০"</f>
        <v>১৪৫০</v>
      </c>
      <c r="H2482" s="75" t="s">
        <v>329</v>
      </c>
      <c r="I2482" s="75" t="s">
        <v>329</v>
      </c>
      <c r="J2482" s="5"/>
    </row>
    <row r="2483" spans="1:10" x14ac:dyDescent="0.25">
      <c r="A2483" s="39">
        <v>2482</v>
      </c>
      <c r="B2483" s="3" t="s">
        <v>3192</v>
      </c>
      <c r="C2483" s="75" t="s">
        <v>2237</v>
      </c>
      <c r="D2483" s="75" t="s">
        <v>1354</v>
      </c>
      <c r="E2483" s="75" t="str">
        <f>"০১৯৬৬১৪৮০৯৯"</f>
        <v>০১৯৬৬১৪৮০৯৯</v>
      </c>
      <c r="F2483" s="22" t="str">
        <f>"8119457833238"</f>
        <v>8119457833238</v>
      </c>
      <c r="G2483" s="75" t="str">
        <f>"১৪৪৯"</f>
        <v>১৪৪৯</v>
      </c>
      <c r="H2483" s="75" t="s">
        <v>330</v>
      </c>
      <c r="I2483" s="75" t="s">
        <v>330</v>
      </c>
      <c r="J2483" s="5"/>
    </row>
    <row r="2484" spans="1:10" x14ac:dyDescent="0.25">
      <c r="A2484" s="39">
        <v>2483</v>
      </c>
      <c r="B2484" s="3" t="s">
        <v>3193</v>
      </c>
      <c r="C2484" s="75" t="s">
        <v>3194</v>
      </c>
      <c r="D2484" s="75" t="s">
        <v>1354</v>
      </c>
      <c r="E2484" s="75" t="str">
        <f>"০"</f>
        <v>০</v>
      </c>
      <c r="F2484" s="22" t="str">
        <f>"8119457833170"</f>
        <v>8119457833170</v>
      </c>
      <c r="G2484" s="75" t="str">
        <f>"১৪৪৮"</f>
        <v>১৪৪৮</v>
      </c>
      <c r="H2484" s="75" t="s">
        <v>319</v>
      </c>
      <c r="I2484" s="75" t="s">
        <v>319</v>
      </c>
      <c r="J2484" s="5"/>
    </row>
    <row r="2485" spans="1:10" x14ac:dyDescent="0.25">
      <c r="A2485" s="39">
        <v>2484</v>
      </c>
      <c r="B2485" s="3" t="s">
        <v>1540</v>
      </c>
      <c r="C2485" s="75" t="s">
        <v>3195</v>
      </c>
      <c r="D2485" s="75" t="s">
        <v>1354</v>
      </c>
      <c r="E2485" s="75" t="str">
        <f>"০১৭২৪৯০৯৬৮৮"</f>
        <v>০১৭২৪৯০৯৬৮৮</v>
      </c>
      <c r="F2485" s="22" t="str">
        <f>"8119457832834"</f>
        <v>8119457832834</v>
      </c>
      <c r="G2485" s="75" t="str">
        <f>"১৪৪৭"</f>
        <v>১৪৪৭</v>
      </c>
      <c r="H2485" s="75" t="s">
        <v>319</v>
      </c>
      <c r="I2485" s="75" t="s">
        <v>319</v>
      </c>
      <c r="J2485" s="5"/>
    </row>
    <row r="2486" spans="1:10" x14ac:dyDescent="0.25">
      <c r="A2486" s="39">
        <v>2485</v>
      </c>
      <c r="B2486" s="3" t="s">
        <v>1963</v>
      </c>
      <c r="C2486" s="75" t="s">
        <v>1828</v>
      </c>
      <c r="D2486" s="75" t="s">
        <v>1354</v>
      </c>
      <c r="E2486" s="75" t="str">
        <f>"০১৭৫১১৫৪৫৪৯"</f>
        <v>০১৭৫১১৫৪৫৪৯</v>
      </c>
      <c r="F2486" s="22" t="str">
        <f>"8119457833064"</f>
        <v>8119457833064</v>
      </c>
      <c r="G2486" s="75" t="str">
        <f>"১৪৪৬"</f>
        <v>১৪৪৬</v>
      </c>
      <c r="H2486" s="75" t="s">
        <v>330</v>
      </c>
      <c r="I2486" s="75" t="s">
        <v>330</v>
      </c>
      <c r="J2486" s="5"/>
    </row>
    <row r="2487" spans="1:10" x14ac:dyDescent="0.25">
      <c r="A2487" s="39">
        <v>2486</v>
      </c>
      <c r="B2487" s="3" t="s">
        <v>1784</v>
      </c>
      <c r="C2487" s="75" t="s">
        <v>3196</v>
      </c>
      <c r="D2487" s="75" t="s">
        <v>1354</v>
      </c>
      <c r="E2487" s="75" t="str">
        <f>"০"</f>
        <v>০</v>
      </c>
      <c r="F2487" s="22" t="str">
        <f>"8119457833345"</f>
        <v>8119457833345</v>
      </c>
      <c r="G2487" s="75" t="str">
        <f>"১৪৪৫"</f>
        <v>১৪৪৫</v>
      </c>
      <c r="H2487" s="75" t="s">
        <v>319</v>
      </c>
      <c r="I2487" s="75" t="s">
        <v>319</v>
      </c>
      <c r="J2487" s="5"/>
    </row>
    <row r="2488" spans="1:10" x14ac:dyDescent="0.25">
      <c r="A2488" s="39">
        <v>2487</v>
      </c>
      <c r="B2488" s="3" t="s">
        <v>3197</v>
      </c>
      <c r="C2488" s="75" t="s">
        <v>3198</v>
      </c>
      <c r="D2488" s="75" t="s">
        <v>1354</v>
      </c>
      <c r="E2488" s="75" t="str">
        <f>"০"</f>
        <v>০</v>
      </c>
      <c r="F2488" s="22" t="str">
        <f>"8119457833112"</f>
        <v>8119457833112</v>
      </c>
      <c r="G2488" s="75" t="str">
        <f>"১৪৪৪"</f>
        <v>১৪৪৪</v>
      </c>
      <c r="H2488" s="75" t="s">
        <v>329</v>
      </c>
      <c r="I2488" s="75" t="s">
        <v>329</v>
      </c>
      <c r="J2488" s="5"/>
    </row>
    <row r="2489" spans="1:10" x14ac:dyDescent="0.25">
      <c r="A2489" s="39">
        <v>2488</v>
      </c>
      <c r="B2489" s="3" t="s">
        <v>1791</v>
      </c>
      <c r="C2489" s="75" t="s">
        <v>2114</v>
      </c>
      <c r="D2489" s="75" t="s">
        <v>1354</v>
      </c>
      <c r="E2489" s="75" t="str">
        <f>"০১৭৭৬৭৩০৪৫৪"</f>
        <v>০১৭৭৬৭৩০৪৫৪</v>
      </c>
      <c r="F2489" s="22" t="str">
        <f>"81945729751"</f>
        <v>81945729751</v>
      </c>
      <c r="G2489" s="75" t="str">
        <f>"১৪৪৩"</f>
        <v>১৪৪৩</v>
      </c>
      <c r="H2489" s="75" t="s">
        <v>315</v>
      </c>
      <c r="I2489" s="75" t="s">
        <v>315</v>
      </c>
      <c r="J2489" s="5"/>
    </row>
    <row r="2490" spans="1:10" x14ac:dyDescent="0.25">
      <c r="A2490" s="39">
        <v>2489</v>
      </c>
      <c r="B2490" s="3" t="s">
        <v>3199</v>
      </c>
      <c r="C2490" s="75" t="s">
        <v>3200</v>
      </c>
      <c r="D2490" s="75" t="s">
        <v>1354</v>
      </c>
      <c r="E2490" s="75" t="str">
        <f>"০১৭৫০৯৭৮২০৫"</f>
        <v>০১৭৫০৯৭৮২০৫</v>
      </c>
      <c r="F2490" s="22" t="str">
        <f>"8119457833013"</f>
        <v>8119457833013</v>
      </c>
      <c r="G2490" s="75" t="str">
        <f>"১৪৪২"</f>
        <v>১৪৪২</v>
      </c>
      <c r="H2490" s="75" t="s">
        <v>322</v>
      </c>
      <c r="I2490" s="75" t="s">
        <v>322</v>
      </c>
      <c r="J2490" s="5"/>
    </row>
    <row r="2491" spans="1:10" x14ac:dyDescent="0.25">
      <c r="A2491" s="39">
        <v>2490</v>
      </c>
      <c r="B2491" s="3" t="s">
        <v>3201</v>
      </c>
      <c r="C2491" s="75" t="s">
        <v>3202</v>
      </c>
      <c r="D2491" s="75" t="s">
        <v>1354</v>
      </c>
      <c r="E2491" s="75" t="str">
        <f>"০১৭৪৬৪৮১১৭৪"</f>
        <v>০১৭৪৬৪৮১১৭৪</v>
      </c>
      <c r="F2491" s="22" t="str">
        <f>"8119457833245"</f>
        <v>8119457833245</v>
      </c>
      <c r="G2491" s="75" t="str">
        <f>"১৪৪১"</f>
        <v>১৪৪১</v>
      </c>
      <c r="H2491" s="75" t="s">
        <v>319</v>
      </c>
      <c r="I2491" s="75" t="s">
        <v>319</v>
      </c>
      <c r="J2491" s="5"/>
    </row>
    <row r="2492" spans="1:10" x14ac:dyDescent="0.25">
      <c r="A2492" s="39">
        <v>2491</v>
      </c>
      <c r="B2492" s="3" t="s">
        <v>1563</v>
      </c>
      <c r="C2492" s="75" t="s">
        <v>3203</v>
      </c>
      <c r="D2492" s="75" t="s">
        <v>1360</v>
      </c>
      <c r="E2492" s="75" t="str">
        <f>"০"</f>
        <v>০</v>
      </c>
      <c r="F2492" s="22" t="str">
        <f>"8119457713449"</f>
        <v>8119457713449</v>
      </c>
      <c r="G2492" s="75" t="str">
        <f>"১৩৪৩"</f>
        <v>১৩৪৩</v>
      </c>
      <c r="H2492" s="75" t="s">
        <v>319</v>
      </c>
      <c r="I2492" s="75" t="s">
        <v>319</v>
      </c>
      <c r="J2492" s="5"/>
    </row>
    <row r="2493" spans="1:10" x14ac:dyDescent="0.25">
      <c r="A2493" s="39">
        <v>2492</v>
      </c>
      <c r="B2493" s="3" t="s">
        <v>3204</v>
      </c>
      <c r="C2493" s="75" t="s">
        <v>2636</v>
      </c>
      <c r="D2493" s="75" t="s">
        <v>1360</v>
      </c>
      <c r="E2493" s="75" t="str">
        <f>"০"</f>
        <v>০</v>
      </c>
      <c r="F2493" s="22" t="str">
        <f>"8119457713786"</f>
        <v>8119457713786</v>
      </c>
      <c r="G2493" s="75" t="str">
        <f>"১৩৪২"</f>
        <v>১৩৪২</v>
      </c>
      <c r="H2493" s="75" t="s">
        <v>319</v>
      </c>
      <c r="I2493" s="75" t="s">
        <v>319</v>
      </c>
      <c r="J2493" s="5"/>
    </row>
    <row r="2494" spans="1:10" x14ac:dyDescent="0.25">
      <c r="A2494" s="39">
        <v>2493</v>
      </c>
      <c r="B2494" s="3" t="s">
        <v>3205</v>
      </c>
      <c r="C2494" s="75" t="s">
        <v>3206</v>
      </c>
      <c r="D2494" s="75" t="s">
        <v>1360</v>
      </c>
      <c r="E2494" s="75" t="str">
        <f>"০১৭২৮৪৪২৬৭০"</f>
        <v>০১৭২৮৪৪২৬৭০</v>
      </c>
      <c r="F2494" s="22" t="str">
        <f>"8119457713442"</f>
        <v>8119457713442</v>
      </c>
      <c r="G2494" s="75" t="str">
        <f>"১৩৪১"</f>
        <v>১৩৪১</v>
      </c>
      <c r="H2494" s="75" t="s">
        <v>456</v>
      </c>
      <c r="I2494" s="75" t="s">
        <v>456</v>
      </c>
      <c r="J2494" s="5"/>
    </row>
    <row r="2495" spans="1:10" x14ac:dyDescent="0.25">
      <c r="A2495" s="39">
        <v>2494</v>
      </c>
      <c r="B2495" s="3" t="s">
        <v>3207</v>
      </c>
      <c r="C2495" s="75" t="s">
        <v>3208</v>
      </c>
      <c r="D2495" s="75" t="s">
        <v>1360</v>
      </c>
      <c r="E2495" s="75" t="str">
        <f>"০১৭২৬২১৫৯৭৭"</f>
        <v>০১৭২৬২১৫৯৭৭</v>
      </c>
      <c r="F2495" s="22" t="str">
        <f>"8119457713361"</f>
        <v>8119457713361</v>
      </c>
      <c r="G2495" s="75" t="str">
        <f>"১৩৪০"</f>
        <v>১৩৪০</v>
      </c>
      <c r="H2495" s="75" t="s">
        <v>319</v>
      </c>
      <c r="I2495" s="75" t="s">
        <v>319</v>
      </c>
      <c r="J2495" s="5"/>
    </row>
    <row r="2496" spans="1:10" x14ac:dyDescent="0.25">
      <c r="A2496" s="39">
        <v>2495</v>
      </c>
      <c r="B2496" s="3" t="s">
        <v>2994</v>
      </c>
      <c r="C2496" s="75" t="s">
        <v>3209</v>
      </c>
      <c r="D2496" s="75" t="s">
        <v>1360</v>
      </c>
      <c r="E2496" s="75" t="str">
        <f>"০"</f>
        <v>০</v>
      </c>
      <c r="F2496" s="22" t="str">
        <f>"81949931212"</f>
        <v>81949931212</v>
      </c>
      <c r="G2496" s="75" t="str">
        <f>"১৩৩৯"</f>
        <v>১৩৩৯</v>
      </c>
      <c r="H2496" s="75" t="s">
        <v>319</v>
      </c>
      <c r="I2496" s="75" t="s">
        <v>319</v>
      </c>
      <c r="J2496" s="5"/>
    </row>
    <row r="2497" spans="1:10" x14ac:dyDescent="0.25">
      <c r="A2497" s="39">
        <v>2496</v>
      </c>
      <c r="B2497" s="3" t="s">
        <v>3210</v>
      </c>
      <c r="C2497" s="75" t="s">
        <v>1547</v>
      </c>
      <c r="D2497" s="75" t="s">
        <v>1360</v>
      </c>
      <c r="E2497" s="75" t="str">
        <f>"০"</f>
        <v>০</v>
      </c>
      <c r="F2497" s="22" t="str">
        <f>"8119457713836"</f>
        <v>8119457713836</v>
      </c>
      <c r="G2497" s="75" t="str">
        <f>"১৩৩৮"</f>
        <v>১৩৩৮</v>
      </c>
      <c r="H2497" s="75" t="s">
        <v>1394</v>
      </c>
      <c r="I2497" s="75" t="s">
        <v>1394</v>
      </c>
      <c r="J2497" s="5"/>
    </row>
    <row r="2498" spans="1:10" x14ac:dyDescent="0.25">
      <c r="A2498" s="39">
        <v>2497</v>
      </c>
      <c r="B2498" s="3" t="s">
        <v>3211</v>
      </c>
      <c r="C2498" s="75" t="s">
        <v>1849</v>
      </c>
      <c r="D2498" s="75" t="s">
        <v>1360</v>
      </c>
      <c r="E2498" s="75" t="str">
        <f>"০১৭৮৫২৪৭৪৩৯"</f>
        <v>০১৭৮৫২৪৭৪৩৯</v>
      </c>
      <c r="F2498" s="22" t="str">
        <f>"8119457713403"</f>
        <v>8119457713403</v>
      </c>
      <c r="G2498" s="75" t="str">
        <f>"১৩৩৭"</f>
        <v>১৩৩৭</v>
      </c>
      <c r="H2498" s="75" t="s">
        <v>319</v>
      </c>
      <c r="I2498" s="75" t="s">
        <v>319</v>
      </c>
      <c r="J2498" s="5"/>
    </row>
    <row r="2499" spans="1:10" x14ac:dyDescent="0.25">
      <c r="A2499" s="39">
        <v>2498</v>
      </c>
      <c r="B2499" s="3" t="s">
        <v>2300</v>
      </c>
      <c r="C2499" s="75" t="s">
        <v>3212</v>
      </c>
      <c r="D2499" s="75" t="s">
        <v>1360</v>
      </c>
      <c r="E2499" s="75" t="str">
        <f>"০১৭২৩৭৮৬৫০৯"</f>
        <v>০১৭২৩৭৮৬৫০৯</v>
      </c>
      <c r="F2499" s="22" t="str">
        <f>"8119457713905"</f>
        <v>8119457713905</v>
      </c>
      <c r="G2499" s="75" t="str">
        <f>"১৩৩৬"</f>
        <v>১৩৩৬</v>
      </c>
      <c r="H2499" s="75" t="s">
        <v>319</v>
      </c>
      <c r="I2499" s="75" t="s">
        <v>319</v>
      </c>
      <c r="J2499" s="5"/>
    </row>
    <row r="2500" spans="1:10" x14ac:dyDescent="0.25">
      <c r="A2500" s="39">
        <v>2499</v>
      </c>
      <c r="B2500" s="3" t="s">
        <v>1828</v>
      </c>
      <c r="C2500" s="75" t="s">
        <v>3213</v>
      </c>
      <c r="D2500" s="75" t="s">
        <v>1360</v>
      </c>
      <c r="E2500" s="75" t="str">
        <f>"০১৭০৬৭৫৩৯১০"</f>
        <v>০১৭০৬৭৫৩৯১০</v>
      </c>
      <c r="F2500" s="22" t="str">
        <f>"8119457713439"</f>
        <v>8119457713439</v>
      </c>
      <c r="G2500" s="75" t="str">
        <f>"১৩৩৫"</f>
        <v>১৩৩৫</v>
      </c>
      <c r="H2500" s="75" t="s">
        <v>456</v>
      </c>
      <c r="I2500" s="75" t="s">
        <v>456</v>
      </c>
      <c r="J2500" s="5"/>
    </row>
    <row r="2501" spans="1:10" x14ac:dyDescent="0.25">
      <c r="A2501" s="39">
        <v>2500</v>
      </c>
      <c r="B2501" s="3" t="s">
        <v>2790</v>
      </c>
      <c r="C2501" s="75" t="s">
        <v>3214</v>
      </c>
      <c r="D2501" s="75" t="s">
        <v>1360</v>
      </c>
      <c r="E2501" s="75" t="str">
        <f>"০১৭১৯৬১২২১০"</f>
        <v>০১৭১৯৬১২২১০</v>
      </c>
      <c r="F2501" s="22" t="str">
        <f>"8119457713466"</f>
        <v>8119457713466</v>
      </c>
      <c r="G2501" s="75" t="str">
        <f>"১৩৩৪"</f>
        <v>১৩৩৪</v>
      </c>
      <c r="H2501" s="75" t="s">
        <v>322</v>
      </c>
      <c r="I2501" s="75" t="s">
        <v>322</v>
      </c>
      <c r="J2501" s="5"/>
    </row>
    <row r="2502" spans="1:10" x14ac:dyDescent="0.25">
      <c r="A2502" s="39">
        <v>2501</v>
      </c>
      <c r="B2502" s="3" t="s">
        <v>3215</v>
      </c>
      <c r="C2502" s="75" t="s">
        <v>3216</v>
      </c>
      <c r="D2502" s="75" t="s">
        <v>1360</v>
      </c>
      <c r="E2502" s="75" t="str">
        <f>"০"</f>
        <v>০</v>
      </c>
      <c r="F2502" s="22" t="str">
        <f>"8119457713884"</f>
        <v>8119457713884</v>
      </c>
      <c r="G2502" s="75" t="str">
        <f>"১৩৩৩"</f>
        <v>১৩৩৩</v>
      </c>
      <c r="H2502" s="75" t="s">
        <v>1434</v>
      </c>
      <c r="I2502" s="75" t="s">
        <v>1434</v>
      </c>
      <c r="J2502" s="5"/>
    </row>
    <row r="2503" spans="1:10" x14ac:dyDescent="0.25">
      <c r="A2503" s="39">
        <v>2502</v>
      </c>
      <c r="B2503" s="3" t="s">
        <v>3217</v>
      </c>
      <c r="C2503" s="75" t="s">
        <v>1560</v>
      </c>
      <c r="D2503" s="75" t="s">
        <v>1360</v>
      </c>
      <c r="E2503" s="75" t="str">
        <f>"০১৭৬৩১৮৯১২৫"</f>
        <v>০১৭৬৩১৮৯১২৫</v>
      </c>
      <c r="F2503" s="22" t="str">
        <f>"8119457000229"</f>
        <v>8119457000229</v>
      </c>
      <c r="G2503" s="75" t="str">
        <f>"১৩৩২"</f>
        <v>১৩৩২</v>
      </c>
      <c r="H2503" s="75" t="s">
        <v>319</v>
      </c>
      <c r="I2503" s="75" t="s">
        <v>319</v>
      </c>
      <c r="J2503" s="5"/>
    </row>
    <row r="2504" spans="1:10" x14ac:dyDescent="0.25">
      <c r="A2504" s="39">
        <v>2503</v>
      </c>
      <c r="B2504" s="3" t="s">
        <v>3218</v>
      </c>
      <c r="C2504" s="75" t="s">
        <v>3219</v>
      </c>
      <c r="D2504" s="75" t="s">
        <v>1360</v>
      </c>
      <c r="E2504" s="75" t="str">
        <f>"০১৭৩৮৬৮৭৫৬৩"</f>
        <v>০১৭৩৮৬৮৭৫৬৩</v>
      </c>
      <c r="F2504" s="22" t="str">
        <f>"810457026083"</f>
        <v>810457026083</v>
      </c>
      <c r="G2504" s="75" t="str">
        <f>"১৩৩১"</f>
        <v>১৩৩১</v>
      </c>
      <c r="H2504" s="75" t="s">
        <v>371</v>
      </c>
      <c r="I2504" s="75" t="s">
        <v>371</v>
      </c>
      <c r="J2504" s="5"/>
    </row>
    <row r="2505" spans="1:10" x14ac:dyDescent="0.25">
      <c r="A2505" s="39">
        <v>2504</v>
      </c>
      <c r="B2505" s="3" t="s">
        <v>3220</v>
      </c>
      <c r="C2505" s="75" t="s">
        <v>3221</v>
      </c>
      <c r="D2505" s="75" t="s">
        <v>1360</v>
      </c>
      <c r="E2505" s="75" t="str">
        <f>"০"</f>
        <v>০</v>
      </c>
      <c r="F2505" s="22" t="str">
        <f>"8119457713774"</f>
        <v>8119457713774</v>
      </c>
      <c r="G2505" s="75" t="str">
        <f>"১৩৩০"</f>
        <v>১৩৩০</v>
      </c>
      <c r="H2505" s="75" t="s">
        <v>322</v>
      </c>
      <c r="I2505" s="75" t="s">
        <v>322</v>
      </c>
      <c r="J2505" s="5"/>
    </row>
    <row r="2506" spans="1:10" x14ac:dyDescent="0.25">
      <c r="A2506" s="39">
        <v>2505</v>
      </c>
      <c r="B2506" s="3" t="s">
        <v>3219</v>
      </c>
      <c r="C2506" s="75" t="s">
        <v>3222</v>
      </c>
      <c r="D2506" s="75" t="s">
        <v>1360</v>
      </c>
      <c r="E2506" s="75" t="str">
        <f>"০১৭৩৯৪০৯০২৫"</f>
        <v>০১৭৩৯৪০৯০২৫</v>
      </c>
      <c r="F2506" s="22" t="str">
        <f>"8119457713142"</f>
        <v>8119457713142</v>
      </c>
      <c r="G2506" s="75" t="str">
        <f>"১৩২৯"</f>
        <v>১৩২৯</v>
      </c>
      <c r="H2506" s="75" t="s">
        <v>371</v>
      </c>
      <c r="I2506" s="75" t="s">
        <v>371</v>
      </c>
      <c r="J2506" s="5"/>
    </row>
    <row r="2507" spans="1:10" x14ac:dyDescent="0.25">
      <c r="A2507" s="39">
        <v>2506</v>
      </c>
      <c r="B2507" s="3" t="s">
        <v>3223</v>
      </c>
      <c r="C2507" s="75" t="s">
        <v>3224</v>
      </c>
      <c r="D2507" s="75" t="s">
        <v>1360</v>
      </c>
      <c r="E2507" s="75" t="str">
        <f>"০১৭৪৫০০৫২৮০"</f>
        <v>০১৭৪৫০০৫২৮০</v>
      </c>
      <c r="F2507" s="22" t="str">
        <f>"8119457713212"</f>
        <v>8119457713212</v>
      </c>
      <c r="G2507" s="75" t="str">
        <f>"১৩২৮"</f>
        <v>১৩২৮</v>
      </c>
      <c r="H2507" s="75" t="s">
        <v>371</v>
      </c>
      <c r="I2507" s="75" t="s">
        <v>371</v>
      </c>
      <c r="J2507" s="5"/>
    </row>
    <row r="2508" spans="1:10" x14ac:dyDescent="0.25">
      <c r="A2508" s="39">
        <v>2507</v>
      </c>
      <c r="B2508" s="3" t="s">
        <v>1859</v>
      </c>
      <c r="C2508" s="75" t="s">
        <v>3225</v>
      </c>
      <c r="D2508" s="75" t="s">
        <v>1360</v>
      </c>
      <c r="E2508" s="75" t="str">
        <f>"০১৭৬২৩৩৩৭৯১"</f>
        <v>০১৭৬২৩৩৩৭৯১</v>
      </c>
      <c r="F2508" s="22" t="str">
        <f>"8119457713954"</f>
        <v>8119457713954</v>
      </c>
      <c r="G2508" s="75" t="str">
        <f>"১৩২৭"</f>
        <v>১৩২৭</v>
      </c>
      <c r="H2508" s="75" t="s">
        <v>322</v>
      </c>
      <c r="I2508" s="75" t="s">
        <v>322</v>
      </c>
      <c r="J2508" s="5"/>
    </row>
    <row r="2509" spans="1:10" x14ac:dyDescent="0.25">
      <c r="A2509" s="39">
        <v>2508</v>
      </c>
      <c r="B2509" s="3" t="s">
        <v>3226</v>
      </c>
      <c r="C2509" s="75" t="s">
        <v>3227</v>
      </c>
      <c r="D2509" s="75" t="s">
        <v>1360</v>
      </c>
      <c r="E2509" s="75" t="str">
        <f>"০১৭৫৪০৯৬১১২"</f>
        <v>০১৭৫৪০৯৬১১২</v>
      </c>
      <c r="F2509" s="22" t="str">
        <f>"8119457713967"</f>
        <v>8119457713967</v>
      </c>
      <c r="G2509" s="75" t="str">
        <f>"১৩২৬"</f>
        <v>১৩২৬</v>
      </c>
      <c r="H2509" s="75" t="s">
        <v>371</v>
      </c>
      <c r="I2509" s="75" t="s">
        <v>371</v>
      </c>
      <c r="J2509" s="5"/>
    </row>
    <row r="2510" spans="1:10" x14ac:dyDescent="0.25">
      <c r="A2510" s="39">
        <v>2509</v>
      </c>
      <c r="B2510" s="3" t="s">
        <v>1601</v>
      </c>
      <c r="C2510" s="75" t="s">
        <v>3228</v>
      </c>
      <c r="D2510" s="75" t="s">
        <v>1360</v>
      </c>
      <c r="E2510" s="75" t="str">
        <f>"০১৭১২৩৩৮১৯৭"</f>
        <v>০১৭১২৩৩৮১৯৭</v>
      </c>
      <c r="F2510" s="22" t="str">
        <f>"8119457713776"</f>
        <v>8119457713776</v>
      </c>
      <c r="G2510" s="75" t="str">
        <f>"১৩২৫"</f>
        <v>১৩২৫</v>
      </c>
      <c r="H2510" s="75" t="s">
        <v>364</v>
      </c>
      <c r="I2510" s="75" t="s">
        <v>364</v>
      </c>
      <c r="J2510" s="5"/>
    </row>
    <row r="2511" spans="1:10" x14ac:dyDescent="0.25">
      <c r="A2511" s="39">
        <v>2510</v>
      </c>
      <c r="B2511" s="3" t="s">
        <v>3229</v>
      </c>
      <c r="C2511" s="75" t="s">
        <v>3230</v>
      </c>
      <c r="D2511" s="75" t="s">
        <v>1360</v>
      </c>
      <c r="E2511" s="75" t="str">
        <f>"০১৭২২৩০২৪৬৫"</f>
        <v>০১৭২২৩০২৪৬৫</v>
      </c>
      <c r="F2511" s="22" t="str">
        <f>"8119457713111"</f>
        <v>8119457713111</v>
      </c>
      <c r="G2511" s="75" t="str">
        <f>"১৩২৪"</f>
        <v>১৩২৪</v>
      </c>
      <c r="H2511" s="75" t="s">
        <v>371</v>
      </c>
      <c r="I2511" s="75" t="s">
        <v>371</v>
      </c>
      <c r="J2511" s="5"/>
    </row>
    <row r="2512" spans="1:10" x14ac:dyDescent="0.25">
      <c r="A2512" s="39">
        <v>2511</v>
      </c>
      <c r="B2512" s="3" t="s">
        <v>3231</v>
      </c>
      <c r="C2512" s="75" t="s">
        <v>2802</v>
      </c>
      <c r="D2512" s="75" t="s">
        <v>1360</v>
      </c>
      <c r="E2512" s="75" t="str">
        <f>"০"</f>
        <v>০</v>
      </c>
      <c r="F2512" s="22" t="str">
        <f>"811945771318"</f>
        <v>811945771318</v>
      </c>
      <c r="G2512" s="75" t="str">
        <f>"১৩২৩"</f>
        <v>১৩২৩</v>
      </c>
      <c r="H2512" s="75" t="s">
        <v>371</v>
      </c>
      <c r="I2512" s="75" t="s">
        <v>371</v>
      </c>
      <c r="J2512" s="5"/>
    </row>
    <row r="2513" spans="1:10" x14ac:dyDescent="0.25">
      <c r="A2513" s="39">
        <v>2512</v>
      </c>
      <c r="B2513" s="3" t="s">
        <v>1687</v>
      </c>
      <c r="C2513" s="75" t="s">
        <v>3232</v>
      </c>
      <c r="D2513" s="75" t="s">
        <v>1360</v>
      </c>
      <c r="E2513" s="75" t="str">
        <f>"০১৭৩৪৭৪৮৯৯৫"</f>
        <v>০১৭৩৪৭৪৮৯৯৫</v>
      </c>
      <c r="F2513" s="22" t="str">
        <f>"8194990033263"</f>
        <v>8194990033263</v>
      </c>
      <c r="G2513" s="75" t="str">
        <f>"১৩২২"</f>
        <v>১৩২২</v>
      </c>
      <c r="H2513" s="75" t="s">
        <v>371</v>
      </c>
      <c r="I2513" s="75" t="s">
        <v>371</v>
      </c>
      <c r="J2513" s="5"/>
    </row>
    <row r="2514" spans="1:10" x14ac:dyDescent="0.25">
      <c r="A2514" s="39">
        <v>2513</v>
      </c>
      <c r="B2514" s="3" t="s">
        <v>3233</v>
      </c>
      <c r="C2514" s="75" t="s">
        <v>1602</v>
      </c>
      <c r="D2514" s="75" t="s">
        <v>1360</v>
      </c>
      <c r="E2514" s="75" t="str">
        <f>"০১৭০৯০০০৬৫৮"</f>
        <v>০১৭০৯০০০৬৫৮</v>
      </c>
      <c r="F2514" s="22" t="str">
        <f>"8119457000198"</f>
        <v>8119457000198</v>
      </c>
      <c r="G2514" s="75" t="str">
        <f>"১৩২১"</f>
        <v>১৩২১</v>
      </c>
      <c r="H2514" s="75" t="s">
        <v>322</v>
      </c>
      <c r="I2514" s="75" t="s">
        <v>322</v>
      </c>
      <c r="J2514" s="5"/>
    </row>
    <row r="2515" spans="1:10" x14ac:dyDescent="0.25">
      <c r="A2515" s="39">
        <v>2514</v>
      </c>
      <c r="B2515" s="3" t="s">
        <v>2660</v>
      </c>
      <c r="C2515" s="75" t="s">
        <v>1602</v>
      </c>
      <c r="D2515" s="75" t="s">
        <v>1360</v>
      </c>
      <c r="E2515" s="75" t="str">
        <f>"০"</f>
        <v>০</v>
      </c>
      <c r="F2515" s="22" t="str">
        <f>"8119457713070"</f>
        <v>8119457713070</v>
      </c>
      <c r="G2515" s="75" t="str">
        <f>"১৩২০"</f>
        <v>১৩২০</v>
      </c>
      <c r="H2515" s="75" t="s">
        <v>371</v>
      </c>
      <c r="I2515" s="75" t="s">
        <v>371</v>
      </c>
      <c r="J2515" s="5"/>
    </row>
    <row r="2516" spans="1:10" x14ac:dyDescent="0.25">
      <c r="A2516" s="39">
        <v>2515</v>
      </c>
      <c r="B2516" s="3" t="s">
        <v>2056</v>
      </c>
      <c r="C2516" s="75" t="s">
        <v>3234</v>
      </c>
      <c r="D2516" s="75" t="s">
        <v>1360</v>
      </c>
      <c r="E2516" s="75" t="str">
        <f>"০"</f>
        <v>০</v>
      </c>
      <c r="F2516" s="22" t="str">
        <f>"8119457713069"</f>
        <v>8119457713069</v>
      </c>
      <c r="G2516" s="75" t="str">
        <f>"১৩১৯"</f>
        <v>১৩১৯</v>
      </c>
      <c r="H2516" s="75" t="s">
        <v>329</v>
      </c>
      <c r="I2516" s="75" t="s">
        <v>329</v>
      </c>
      <c r="J2516" s="5"/>
    </row>
    <row r="2517" spans="1:10" x14ac:dyDescent="0.25">
      <c r="A2517" s="39">
        <v>2516</v>
      </c>
      <c r="B2517" s="3" t="s">
        <v>3235</v>
      </c>
      <c r="C2517" s="75" t="s">
        <v>1653</v>
      </c>
      <c r="D2517" s="75" t="s">
        <v>1360</v>
      </c>
      <c r="E2517" s="75" t="str">
        <f>"০১৭৫১০৩৯৪০৩"</f>
        <v>০১৭৫১০৩৯৪০৩</v>
      </c>
      <c r="F2517" s="22" t="str">
        <f>"8119457713989"</f>
        <v>8119457713989</v>
      </c>
      <c r="G2517" s="75" t="str">
        <f>"১৩১৮"</f>
        <v>১৩১৮</v>
      </c>
      <c r="H2517" s="75" t="s">
        <v>371</v>
      </c>
      <c r="I2517" s="75" t="s">
        <v>371</v>
      </c>
      <c r="J2517" s="5"/>
    </row>
    <row r="2518" spans="1:10" x14ac:dyDescent="0.25">
      <c r="A2518" s="39">
        <v>2517</v>
      </c>
      <c r="B2518" s="3" t="s">
        <v>3236</v>
      </c>
      <c r="C2518" s="75" t="s">
        <v>3237</v>
      </c>
      <c r="D2518" s="75" t="s">
        <v>1360</v>
      </c>
      <c r="E2518" s="75" t="str">
        <f>"০১৭৮৪৯২৪৮২৭"</f>
        <v>০১৭৮৪৯২৪৮২৭</v>
      </c>
      <c r="F2518" s="22" t="str">
        <f>"8119457713061"</f>
        <v>8119457713061</v>
      </c>
      <c r="G2518" s="75" t="str">
        <f>"১৩১৭"</f>
        <v>১৩১৭</v>
      </c>
      <c r="H2518" s="75" t="s">
        <v>371</v>
      </c>
      <c r="I2518" s="75" t="s">
        <v>371</v>
      </c>
      <c r="J2518" s="5"/>
    </row>
    <row r="2519" spans="1:10" x14ac:dyDescent="0.25">
      <c r="A2519" s="39">
        <v>2518</v>
      </c>
      <c r="B2519" s="3" t="s">
        <v>2790</v>
      </c>
      <c r="C2519" s="75" t="s">
        <v>3214</v>
      </c>
      <c r="D2519" s="75" t="s">
        <v>1360</v>
      </c>
      <c r="E2519" s="75" t="str">
        <f>"০১৭৫৪৫৫৮২২০"</f>
        <v>০১৭৫৪৫৫৮২২০</v>
      </c>
      <c r="F2519" s="22" t="str">
        <f>"8119457713466"</f>
        <v>8119457713466</v>
      </c>
      <c r="G2519" s="75" t="str">
        <f>"১৩১৬"</f>
        <v>১৩১৬</v>
      </c>
      <c r="H2519" s="75" t="s">
        <v>371</v>
      </c>
      <c r="I2519" s="75" t="s">
        <v>371</v>
      </c>
      <c r="J2519" s="5"/>
    </row>
    <row r="2520" spans="1:10" x14ac:dyDescent="0.25">
      <c r="A2520" s="39">
        <v>2519</v>
      </c>
      <c r="B2520" s="3" t="s">
        <v>1690</v>
      </c>
      <c r="C2520" s="75" t="s">
        <v>3238</v>
      </c>
      <c r="D2520" s="75" t="s">
        <v>1360</v>
      </c>
      <c r="E2520" s="75" t="str">
        <f>"০১৭১৯৬১২২১০"</f>
        <v>০১৭১৯৬১২২১০</v>
      </c>
      <c r="F2520" s="22" t="str">
        <f>"8119457713123"</f>
        <v>8119457713123</v>
      </c>
      <c r="G2520" s="75" t="str">
        <f>"১৩১৫"</f>
        <v>১৩১৫</v>
      </c>
      <c r="H2520" s="75" t="s">
        <v>371</v>
      </c>
      <c r="I2520" s="75" t="s">
        <v>371</v>
      </c>
      <c r="J2520" s="5"/>
    </row>
    <row r="2521" spans="1:10" x14ac:dyDescent="0.25">
      <c r="A2521" s="39">
        <v>2520</v>
      </c>
      <c r="B2521" s="3" t="s">
        <v>1578</v>
      </c>
      <c r="C2521" s="75" t="s">
        <v>3225</v>
      </c>
      <c r="D2521" s="75" t="s">
        <v>1360</v>
      </c>
      <c r="E2521" s="75" t="str">
        <f>"০১৭৪৪৫৬৩৩৮২"</f>
        <v>০১৭৪৪৫৬৩৩৮২</v>
      </c>
      <c r="F2521" s="22" t="str">
        <f>"8119457713946"</f>
        <v>8119457713946</v>
      </c>
      <c r="G2521" s="75" t="str">
        <f>"১৩১৪"</f>
        <v>১৩১৪</v>
      </c>
      <c r="H2521" s="75" t="s">
        <v>322</v>
      </c>
      <c r="I2521" s="75" t="s">
        <v>322</v>
      </c>
      <c r="J2521" s="5"/>
    </row>
    <row r="2522" spans="1:10" x14ac:dyDescent="0.25">
      <c r="A2522" s="39">
        <v>2521</v>
      </c>
      <c r="B2522" s="3" t="s">
        <v>3239</v>
      </c>
      <c r="C2522" s="75" t="s">
        <v>3240</v>
      </c>
      <c r="D2522" s="75" t="s">
        <v>1360</v>
      </c>
      <c r="E2522" s="75" t="str">
        <f>"০১৭৩৯৪১৫২৭৫"</f>
        <v>০১৭৩৯৪১৫২৭৫</v>
      </c>
      <c r="F2522" s="22" t="str">
        <f>"8129405752703"</f>
        <v>8129405752703</v>
      </c>
      <c r="G2522" s="75" t="str">
        <f>"১৩১৩"</f>
        <v>১৩১৩</v>
      </c>
      <c r="H2522" s="75" t="s">
        <v>322</v>
      </c>
      <c r="I2522" s="75" t="s">
        <v>322</v>
      </c>
      <c r="J2522" s="5"/>
    </row>
    <row r="2523" spans="1:10" x14ac:dyDescent="0.25">
      <c r="A2523" s="39">
        <v>2522</v>
      </c>
      <c r="B2523" s="3" t="s">
        <v>1758</v>
      </c>
      <c r="C2523" s="75" t="s">
        <v>1660</v>
      </c>
      <c r="D2523" s="75" t="s">
        <v>1360</v>
      </c>
      <c r="E2523" s="75" t="str">
        <f>"০১৭২৯১২৩৫১২"</f>
        <v>০১৭২৯১২৩৫১২</v>
      </c>
      <c r="F2523" s="22" t="str">
        <f>"8119457713702"</f>
        <v>8119457713702</v>
      </c>
      <c r="G2523" s="75" t="str">
        <f>"১৩১২"</f>
        <v>১৩১২</v>
      </c>
      <c r="H2523" s="75" t="s">
        <v>371</v>
      </c>
      <c r="I2523" s="75" t="s">
        <v>371</v>
      </c>
      <c r="J2523" s="5"/>
    </row>
    <row r="2524" spans="1:10" x14ac:dyDescent="0.25">
      <c r="A2524" s="39">
        <v>2523</v>
      </c>
      <c r="B2524" s="3" t="s">
        <v>3241</v>
      </c>
      <c r="C2524" s="75" t="s">
        <v>3242</v>
      </c>
      <c r="D2524" s="75" t="s">
        <v>1360</v>
      </c>
      <c r="E2524" s="75" t="str">
        <f>"০১৭৮৪২৭৮০৪৪"</f>
        <v>০১৭৮৪২৭৮০৪৪</v>
      </c>
      <c r="F2524" s="22" t="str">
        <f>"8119457713106"</f>
        <v>8119457713106</v>
      </c>
      <c r="G2524" s="75" t="str">
        <f>"১৩১১"</f>
        <v>১৩১১</v>
      </c>
      <c r="H2524" s="75" t="s">
        <v>371</v>
      </c>
      <c r="I2524" s="75" t="s">
        <v>371</v>
      </c>
      <c r="J2524" s="5"/>
    </row>
    <row r="2525" spans="1:10" x14ac:dyDescent="0.25">
      <c r="A2525" s="39">
        <v>2524</v>
      </c>
      <c r="B2525" s="3" t="s">
        <v>1660</v>
      </c>
      <c r="C2525" s="75" t="s">
        <v>3243</v>
      </c>
      <c r="D2525" s="75" t="s">
        <v>1360</v>
      </c>
      <c r="E2525" s="75" t="str">
        <f>"০১৭২৯১২৩৫১২"</f>
        <v>০১৭২৯১২৩৫১২</v>
      </c>
      <c r="F2525" s="22" t="str">
        <f>"811945771375"</f>
        <v>811945771375</v>
      </c>
      <c r="G2525" s="75" t="str">
        <f>"১৩১০"</f>
        <v>১৩১০</v>
      </c>
      <c r="H2525" s="75" t="s">
        <v>371</v>
      </c>
      <c r="I2525" s="75" t="s">
        <v>371</v>
      </c>
      <c r="J2525" s="5"/>
    </row>
    <row r="2526" spans="1:10" x14ac:dyDescent="0.25">
      <c r="A2526" s="39">
        <v>2525</v>
      </c>
      <c r="B2526" s="3" t="s">
        <v>1829</v>
      </c>
      <c r="C2526" s="75" t="s">
        <v>2298</v>
      </c>
      <c r="D2526" s="75" t="s">
        <v>1360</v>
      </c>
      <c r="E2526" s="75" t="str">
        <f>"০১৭৪০৩২০৩২০"</f>
        <v>০১৭৪০৩২০৩২০</v>
      </c>
      <c r="F2526" s="22" t="str">
        <f>"8119457713650"</f>
        <v>8119457713650</v>
      </c>
      <c r="G2526" s="75" t="str">
        <f>"১৩০৯"</f>
        <v>১৩০৯</v>
      </c>
      <c r="H2526" s="75" t="s">
        <v>371</v>
      </c>
      <c r="I2526" s="75" t="s">
        <v>371</v>
      </c>
      <c r="J2526" s="5"/>
    </row>
    <row r="2527" spans="1:10" x14ac:dyDescent="0.25">
      <c r="A2527" s="39">
        <v>2526</v>
      </c>
      <c r="B2527" s="3" t="s">
        <v>3244</v>
      </c>
      <c r="C2527" s="75" t="s">
        <v>2859</v>
      </c>
      <c r="D2527" s="75" t="s">
        <v>1360</v>
      </c>
      <c r="E2527" s="75" t="str">
        <f>"০"</f>
        <v>০</v>
      </c>
      <c r="F2527" s="22" t="str">
        <f>"8119457713841"</f>
        <v>8119457713841</v>
      </c>
      <c r="G2527" s="75" t="str">
        <f>"১৩০৮"</f>
        <v>১৩০৮</v>
      </c>
      <c r="H2527" s="75" t="s">
        <v>371</v>
      </c>
      <c r="I2527" s="75" t="s">
        <v>371</v>
      </c>
      <c r="J2527" s="5"/>
    </row>
    <row r="2528" spans="1:10" x14ac:dyDescent="0.25">
      <c r="A2528" s="39">
        <v>2527</v>
      </c>
      <c r="B2528" s="3" t="s">
        <v>3245</v>
      </c>
      <c r="C2528" s="75" t="s">
        <v>2142</v>
      </c>
      <c r="D2528" s="75" t="s">
        <v>1360</v>
      </c>
      <c r="E2528" s="75" t="str">
        <f>"০১৭৫০৪১৭৫০০"</f>
        <v>০১৭৫০৪১৭৫০০</v>
      </c>
      <c r="F2528" s="22" t="str">
        <f>"8119457713846"</f>
        <v>8119457713846</v>
      </c>
      <c r="G2528" s="75" t="str">
        <f>"১৩০৭"</f>
        <v>১৩০৭</v>
      </c>
      <c r="H2528" s="75" t="s">
        <v>322</v>
      </c>
      <c r="I2528" s="75" t="s">
        <v>322</v>
      </c>
      <c r="J2528" s="5"/>
    </row>
    <row r="2529" spans="1:10" x14ac:dyDescent="0.25">
      <c r="A2529" s="39">
        <v>2528</v>
      </c>
      <c r="B2529" s="3" t="s">
        <v>1593</v>
      </c>
      <c r="C2529" s="75" t="s">
        <v>2298</v>
      </c>
      <c r="D2529" s="75" t="s">
        <v>1360</v>
      </c>
      <c r="E2529" s="75" t="str">
        <f>"০১৭৪০৪৩৯৭৮৯"</f>
        <v>০১৭৪০৪৩৯৭৮৯</v>
      </c>
      <c r="F2529" s="22" t="str">
        <f>"8119457000133"</f>
        <v>8119457000133</v>
      </c>
      <c r="G2529" s="75" t="str">
        <f>"১৩০৬"</f>
        <v>১৩০৬</v>
      </c>
      <c r="H2529" s="75" t="s">
        <v>371</v>
      </c>
      <c r="I2529" s="75" t="s">
        <v>371</v>
      </c>
      <c r="J2529" s="5"/>
    </row>
    <row r="2530" spans="1:10" x14ac:dyDescent="0.25">
      <c r="A2530" s="39">
        <v>2529</v>
      </c>
      <c r="B2530" s="3" t="s">
        <v>2298</v>
      </c>
      <c r="C2530" s="75" t="s">
        <v>1861</v>
      </c>
      <c r="D2530" s="75" t="s">
        <v>1360</v>
      </c>
      <c r="E2530" s="75" t="str">
        <f>"০১৭১৫৪৮২৯৪৬"</f>
        <v>০১৭১৫৪৮২৯৪৬</v>
      </c>
      <c r="F2530" s="22" t="str">
        <f>"8119457713588"</f>
        <v>8119457713588</v>
      </c>
      <c r="G2530" s="75" t="str">
        <f>"১৩০৫"</f>
        <v>১৩০৫</v>
      </c>
      <c r="H2530" s="75" t="s">
        <v>371</v>
      </c>
      <c r="I2530" s="75" t="s">
        <v>371</v>
      </c>
      <c r="J2530" s="5"/>
    </row>
    <row r="2531" spans="1:10" x14ac:dyDescent="0.25">
      <c r="A2531" s="39">
        <v>2530</v>
      </c>
      <c r="B2531" s="3" t="s">
        <v>2147</v>
      </c>
      <c r="C2531" s="75" t="s">
        <v>3246</v>
      </c>
      <c r="D2531" s="75" t="s">
        <v>1360</v>
      </c>
      <c r="E2531" s="75" t="str">
        <f>"০১৭৬৩০৭০৮২২"</f>
        <v>০১৭৬৩০৭০৮২২</v>
      </c>
      <c r="F2531" s="22" t="str">
        <f>"8119457713461"</f>
        <v>8119457713461</v>
      </c>
      <c r="G2531" s="75" t="str">
        <f>"১৩০৪"</f>
        <v>১৩০৪</v>
      </c>
      <c r="H2531" s="75" t="s">
        <v>371</v>
      </c>
      <c r="I2531" s="75" t="s">
        <v>371</v>
      </c>
      <c r="J2531" s="5"/>
    </row>
    <row r="2532" spans="1:10" x14ac:dyDescent="0.25">
      <c r="A2532" s="39">
        <v>2531</v>
      </c>
      <c r="B2532" s="3" t="s">
        <v>2171</v>
      </c>
      <c r="C2532" s="75" t="s">
        <v>3247</v>
      </c>
      <c r="D2532" s="75" t="s">
        <v>1360</v>
      </c>
      <c r="E2532" s="75" t="str">
        <f>"০১৭৬৮৯৫৭২৩১"</f>
        <v>০১৭৬৮৯৫৭২৩১</v>
      </c>
      <c r="F2532" s="22" t="str">
        <f>"8119457713907"</f>
        <v>8119457713907</v>
      </c>
      <c r="G2532" s="75" t="str">
        <f>"১৩০৩"</f>
        <v>১৩০৩</v>
      </c>
      <c r="H2532" s="75" t="s">
        <v>371</v>
      </c>
      <c r="I2532" s="75" t="s">
        <v>371</v>
      </c>
      <c r="J2532" s="5"/>
    </row>
    <row r="2533" spans="1:10" x14ac:dyDescent="0.25">
      <c r="A2533" s="39">
        <v>2532</v>
      </c>
      <c r="B2533" s="3" t="s">
        <v>3248</v>
      </c>
      <c r="C2533" s="75" t="s">
        <v>3249</v>
      </c>
      <c r="D2533" s="75" t="s">
        <v>1360</v>
      </c>
      <c r="E2533" s="75" t="str">
        <f>"০১৭২৮৯৪৭৪৭৭"</f>
        <v>০১৭২৮৯৪৭৪৭৭</v>
      </c>
      <c r="F2533" s="22" t="str">
        <f>"8119457713888"</f>
        <v>8119457713888</v>
      </c>
      <c r="G2533" s="75" t="str">
        <f>"১৩০২"</f>
        <v>১৩০২</v>
      </c>
      <c r="H2533" s="75" t="s">
        <v>371</v>
      </c>
      <c r="I2533" s="75" t="s">
        <v>371</v>
      </c>
      <c r="J2533" s="5"/>
    </row>
    <row r="2534" spans="1:10" x14ac:dyDescent="0.25">
      <c r="A2534" s="39">
        <v>2533</v>
      </c>
      <c r="B2534" s="3" t="s">
        <v>3250</v>
      </c>
      <c r="C2534" s="75" t="s">
        <v>3251</v>
      </c>
      <c r="D2534" s="75" t="s">
        <v>1360</v>
      </c>
      <c r="E2534" s="75" t="str">
        <f>"০১৭৬৩২৯৪৩১১"</f>
        <v>০১৭৬৩২৯৪৩১১</v>
      </c>
      <c r="F2534" s="22" t="str">
        <f>"8119457713143"</f>
        <v>8119457713143</v>
      </c>
      <c r="G2534" s="75" t="str">
        <f>"১৩০১"</f>
        <v>১৩০১</v>
      </c>
      <c r="H2534" s="75" t="s">
        <v>371</v>
      </c>
      <c r="I2534" s="75" t="s">
        <v>371</v>
      </c>
      <c r="J2534" s="5"/>
    </row>
    <row r="2535" spans="1:10" x14ac:dyDescent="0.25">
      <c r="A2535" s="39">
        <v>2534</v>
      </c>
      <c r="B2535" s="3" t="s">
        <v>3252</v>
      </c>
      <c r="C2535" s="75" t="s">
        <v>3253</v>
      </c>
      <c r="D2535" s="75" t="s">
        <v>1360</v>
      </c>
      <c r="E2535" s="75" t="str">
        <f>"০"</f>
        <v>০</v>
      </c>
      <c r="F2535" s="22" t="str">
        <f>"8119457713598"</f>
        <v>8119457713598</v>
      </c>
      <c r="G2535" s="75" t="str">
        <f>"১৩০০"</f>
        <v>১৩০০</v>
      </c>
      <c r="H2535" s="75" t="s">
        <v>322</v>
      </c>
      <c r="I2535" s="75" t="s">
        <v>322</v>
      </c>
      <c r="J2535" s="5"/>
    </row>
    <row r="2536" spans="1:10" x14ac:dyDescent="0.25">
      <c r="A2536" s="39">
        <v>2535</v>
      </c>
      <c r="B2536" s="3" t="s">
        <v>3254</v>
      </c>
      <c r="C2536" s="75" t="s">
        <v>3255</v>
      </c>
      <c r="D2536" s="75" t="s">
        <v>1360</v>
      </c>
      <c r="E2536" s="75" t="str">
        <f>"০১৭৮৫২২৫২১১"</f>
        <v>০১৭৮৫২২৫২১১</v>
      </c>
      <c r="F2536" s="22" t="str">
        <f>"8119457713680"</f>
        <v>8119457713680</v>
      </c>
      <c r="G2536" s="75" t="str">
        <f>"১২৯৯"</f>
        <v>১২৯৯</v>
      </c>
      <c r="H2536" s="75" t="s">
        <v>371</v>
      </c>
      <c r="I2536" s="75" t="s">
        <v>371</v>
      </c>
      <c r="J2536" s="5"/>
    </row>
    <row r="2537" spans="1:10" x14ac:dyDescent="0.25">
      <c r="A2537" s="39">
        <v>2536</v>
      </c>
      <c r="B2537" s="3" t="s">
        <v>3256</v>
      </c>
      <c r="C2537" s="75" t="s">
        <v>1634</v>
      </c>
      <c r="D2537" s="75" t="s">
        <v>1360</v>
      </c>
      <c r="E2537" s="75" t="str">
        <f>"০"</f>
        <v>০</v>
      </c>
      <c r="F2537" s="22" t="str">
        <f>"8119457713631"</f>
        <v>8119457713631</v>
      </c>
      <c r="G2537" s="75" t="str">
        <f>"১২৯৮"</f>
        <v>১২৯৮</v>
      </c>
      <c r="H2537" s="75" t="s">
        <v>329</v>
      </c>
      <c r="I2537" s="75" t="s">
        <v>329</v>
      </c>
      <c r="J2537" s="5"/>
    </row>
    <row r="2538" spans="1:10" x14ac:dyDescent="0.25">
      <c r="A2538" s="39">
        <v>2537</v>
      </c>
      <c r="B2538" s="3" t="s">
        <v>3257</v>
      </c>
      <c r="C2538" s="75" t="s">
        <v>3258</v>
      </c>
      <c r="D2538" s="75" t="s">
        <v>1360</v>
      </c>
      <c r="E2538" s="75" t="str">
        <f>"০১৭১৮৯৫৭৫৪৯"</f>
        <v>০১৭১৮৯৫৭৫৪৯</v>
      </c>
      <c r="F2538" s="22" t="str">
        <f>"8119457713672"</f>
        <v>8119457713672</v>
      </c>
      <c r="G2538" s="75" t="str">
        <f>"১২৯৭"</f>
        <v>১২৯৭</v>
      </c>
      <c r="H2538" s="75" t="s">
        <v>319</v>
      </c>
      <c r="I2538" s="75" t="s">
        <v>319</v>
      </c>
      <c r="J2538" s="5"/>
    </row>
    <row r="2539" spans="1:10" x14ac:dyDescent="0.25">
      <c r="A2539" s="39">
        <v>2538</v>
      </c>
      <c r="B2539" s="3" t="s">
        <v>1830</v>
      </c>
      <c r="C2539" s="75" t="s">
        <v>1634</v>
      </c>
      <c r="D2539" s="75" t="s">
        <v>1360</v>
      </c>
      <c r="E2539" s="75" t="str">
        <f>"০"</f>
        <v>০</v>
      </c>
      <c r="F2539" s="22" t="str">
        <f>"8119457713583"</f>
        <v>8119457713583</v>
      </c>
      <c r="G2539" s="75" t="str">
        <f>"১২৯৬"</f>
        <v>১২৯৬</v>
      </c>
      <c r="H2539" s="75" t="s">
        <v>319</v>
      </c>
      <c r="I2539" s="75" t="s">
        <v>319</v>
      </c>
      <c r="J2539" s="5"/>
    </row>
    <row r="2540" spans="1:10" x14ac:dyDescent="0.25">
      <c r="A2540" s="39">
        <v>2539</v>
      </c>
      <c r="B2540" s="3" t="s">
        <v>3259</v>
      </c>
      <c r="C2540" s="75" t="s">
        <v>3260</v>
      </c>
      <c r="D2540" s="75" t="s">
        <v>1360</v>
      </c>
      <c r="E2540" s="75" t="str">
        <f>"০১৭৩৮৪৫৪৩০৫"</f>
        <v>০১৭৩৮৪৫৪৩০৫</v>
      </c>
      <c r="F2540" s="22" t="str">
        <f>"8119457713550"</f>
        <v>8119457713550</v>
      </c>
      <c r="G2540" s="75" t="str">
        <f>"১২৯৫"</f>
        <v>১২৯৫</v>
      </c>
      <c r="H2540" s="75" t="s">
        <v>319</v>
      </c>
      <c r="I2540" s="75" t="s">
        <v>319</v>
      </c>
      <c r="J2540" s="5"/>
    </row>
    <row r="2541" spans="1:10" x14ac:dyDescent="0.25">
      <c r="A2541" s="39">
        <v>2540</v>
      </c>
      <c r="B2541" s="3" t="s">
        <v>3261</v>
      </c>
      <c r="C2541" s="75" t="s">
        <v>3262</v>
      </c>
      <c r="D2541" s="75" t="s">
        <v>1360</v>
      </c>
      <c r="E2541" s="75" t="str">
        <f>"০১৭৫৩৩২৩৮৫৯"</f>
        <v>০১৭৫৩৩২৩৮৫৯</v>
      </c>
      <c r="F2541" s="22" t="str">
        <f>"8119457713227"</f>
        <v>8119457713227</v>
      </c>
      <c r="G2541" s="75" t="str">
        <f>"১২৯৪"</f>
        <v>১২৯৪</v>
      </c>
      <c r="H2541" s="75" t="s">
        <v>322</v>
      </c>
      <c r="I2541" s="75" t="s">
        <v>322</v>
      </c>
      <c r="J2541" s="5"/>
    </row>
    <row r="2542" spans="1:10" x14ac:dyDescent="0.25">
      <c r="A2542" s="39">
        <v>2541</v>
      </c>
      <c r="B2542" s="3" t="s">
        <v>2949</v>
      </c>
      <c r="C2542" s="75" t="s">
        <v>3263</v>
      </c>
      <c r="D2542" s="75" t="s">
        <v>1360</v>
      </c>
      <c r="E2542" s="75" t="str">
        <f>"০১৭৪৬৬১৩১৫৭"</f>
        <v>০১৭৪৬৬১৩১৫৭</v>
      </c>
      <c r="F2542" s="22" t="str">
        <f>"8119457713852"</f>
        <v>8119457713852</v>
      </c>
      <c r="G2542" s="75" t="str">
        <f>"১২৯৩"</f>
        <v>১২৯৩</v>
      </c>
      <c r="H2542" s="75" t="s">
        <v>371</v>
      </c>
      <c r="I2542" s="75" t="s">
        <v>371</v>
      </c>
      <c r="J2542" s="5"/>
    </row>
    <row r="2543" spans="1:10" x14ac:dyDescent="0.25">
      <c r="A2543" s="39">
        <v>2542</v>
      </c>
      <c r="B2543" s="3" t="s">
        <v>3264</v>
      </c>
      <c r="C2543" s="75" t="s">
        <v>3208</v>
      </c>
      <c r="D2543" s="75" t="s">
        <v>1360</v>
      </c>
      <c r="E2543" s="75" t="str">
        <f>"০১৭৪৬১৬১৩৫৮"</f>
        <v>০১৭৪৬১৬১৩৫৮</v>
      </c>
      <c r="F2543" s="22" t="str">
        <f>"8119457713547"</f>
        <v>8119457713547</v>
      </c>
      <c r="G2543" s="75" t="str">
        <f>"১২৯২"</f>
        <v>১২৯২</v>
      </c>
      <c r="H2543" s="75" t="s">
        <v>319</v>
      </c>
      <c r="I2543" s="75" t="s">
        <v>319</v>
      </c>
      <c r="J2543" s="5"/>
    </row>
    <row r="2544" spans="1:10" x14ac:dyDescent="0.25">
      <c r="A2544" s="39">
        <v>2543</v>
      </c>
      <c r="B2544" s="3" t="s">
        <v>3265</v>
      </c>
      <c r="C2544" s="75" t="s">
        <v>3266</v>
      </c>
      <c r="D2544" s="75" t="s">
        <v>1360</v>
      </c>
      <c r="E2544" s="75" t="str">
        <f>"০১৭৭৪৫৮৫৪৪৩"</f>
        <v>০১৭৭৪৫৮৫৪৪৩</v>
      </c>
      <c r="F2544" s="22" t="str">
        <f>"8119457713860"</f>
        <v>8119457713860</v>
      </c>
      <c r="G2544" s="75" t="str">
        <f>"১২৯১"</f>
        <v>১২৯১</v>
      </c>
      <c r="H2544" s="75" t="s">
        <v>322</v>
      </c>
      <c r="I2544" s="75" t="s">
        <v>322</v>
      </c>
      <c r="J2544" s="5"/>
    </row>
    <row r="2545" spans="1:10" x14ac:dyDescent="0.25">
      <c r="A2545" s="39">
        <v>2544</v>
      </c>
      <c r="B2545" s="3" t="s">
        <v>3267</v>
      </c>
      <c r="C2545" s="75" t="s">
        <v>2556</v>
      </c>
      <c r="D2545" s="75" t="s">
        <v>1360</v>
      </c>
      <c r="E2545" s="75" t="str">
        <f>"০১৭৪৬১৬১৩৫৭"</f>
        <v>০১৭৪৬১৬১৩৫৭</v>
      </c>
      <c r="F2545" s="22" t="str">
        <f>"8119457000229"</f>
        <v>8119457000229</v>
      </c>
      <c r="G2545" s="75" t="str">
        <f>"১২৯০"</f>
        <v>১২৯০</v>
      </c>
      <c r="H2545" s="75" t="s">
        <v>319</v>
      </c>
      <c r="I2545" s="75" t="s">
        <v>319</v>
      </c>
      <c r="J2545" s="5"/>
    </row>
    <row r="2546" spans="1:10" x14ac:dyDescent="0.25">
      <c r="A2546" s="39">
        <v>2545</v>
      </c>
      <c r="B2546" s="3" t="s">
        <v>2139</v>
      </c>
      <c r="C2546" s="75" t="s">
        <v>3268</v>
      </c>
      <c r="D2546" s="75" t="s">
        <v>1360</v>
      </c>
      <c r="E2546" s="75" t="str">
        <f>"০১৭৪০৪১৪৪৮০"</f>
        <v>০১৭৪০৪১৪৪৮০</v>
      </c>
      <c r="F2546" s="22" t="str">
        <f>"8119457713815"</f>
        <v>8119457713815</v>
      </c>
      <c r="G2546" s="75" t="str">
        <f>"১২৮৯"</f>
        <v>১২৮৯</v>
      </c>
      <c r="H2546" s="75" t="s">
        <v>319</v>
      </c>
      <c r="I2546" s="75" t="s">
        <v>319</v>
      </c>
      <c r="J2546" s="5"/>
    </row>
    <row r="2547" spans="1:10" x14ac:dyDescent="0.25">
      <c r="A2547" s="39">
        <v>2546</v>
      </c>
      <c r="B2547" s="3" t="s">
        <v>2556</v>
      </c>
      <c r="C2547" s="75" t="s">
        <v>3213</v>
      </c>
      <c r="D2547" s="75" t="s">
        <v>1360</v>
      </c>
      <c r="E2547" s="75" t="str">
        <f>"০১৭৫৩৩২৩৮৫৯"</f>
        <v>০১৭৫৩৩২৩৮৫৯</v>
      </c>
      <c r="F2547" s="22" t="str">
        <f>"8119457713821"</f>
        <v>8119457713821</v>
      </c>
      <c r="G2547" s="75" t="str">
        <f>"১২৮৮"</f>
        <v>১২৮৮</v>
      </c>
      <c r="H2547" s="75" t="s">
        <v>322</v>
      </c>
      <c r="I2547" s="75" t="s">
        <v>322</v>
      </c>
      <c r="J2547" s="5"/>
    </row>
    <row r="2548" spans="1:10" x14ac:dyDescent="0.25">
      <c r="A2548" s="39">
        <v>2547</v>
      </c>
      <c r="B2548" s="3" t="s">
        <v>3248</v>
      </c>
      <c r="C2548" s="75" t="s">
        <v>2392</v>
      </c>
      <c r="D2548" s="75" t="s">
        <v>1360</v>
      </c>
      <c r="E2548" s="75" t="str">
        <f>"০৭৬৮৮১৭৪৯৯"</f>
        <v>০৭৬৮৮১৭৪৯৯</v>
      </c>
      <c r="F2548" s="22" t="str">
        <f>"8119457713855"</f>
        <v>8119457713855</v>
      </c>
      <c r="G2548" s="75" t="str">
        <f>"১২৮৭"</f>
        <v>১২৮৭</v>
      </c>
      <c r="H2548" s="75" t="s">
        <v>371</v>
      </c>
      <c r="I2548" s="75" t="s">
        <v>371</v>
      </c>
      <c r="J2548" s="5"/>
    </row>
    <row r="2549" spans="1:10" x14ac:dyDescent="0.25">
      <c r="A2549" s="39">
        <v>2548</v>
      </c>
      <c r="B2549" s="3" t="s">
        <v>3269</v>
      </c>
      <c r="C2549" s="75" t="s">
        <v>3270</v>
      </c>
      <c r="D2549" s="75" t="s">
        <v>1360</v>
      </c>
      <c r="E2549" s="75" t="str">
        <f>"০১৭৯৬৯৫০৫৬৫"</f>
        <v>০১৭৯৬৯৫০৫৬৫</v>
      </c>
      <c r="F2549" s="22" t="str">
        <f>"8119457713798"</f>
        <v>8119457713798</v>
      </c>
      <c r="G2549" s="75" t="str">
        <f>"১২৮৬"</f>
        <v>১২৮৬</v>
      </c>
      <c r="H2549" s="75" t="s">
        <v>371</v>
      </c>
      <c r="I2549" s="75" t="s">
        <v>371</v>
      </c>
      <c r="J2549" s="5"/>
    </row>
    <row r="2550" spans="1:10" x14ac:dyDescent="0.25">
      <c r="A2550" s="39">
        <v>2549</v>
      </c>
      <c r="B2550" s="3" t="s">
        <v>1545</v>
      </c>
      <c r="C2550" s="75" t="s">
        <v>2283</v>
      </c>
      <c r="D2550" s="75" t="s">
        <v>1360</v>
      </c>
      <c r="E2550" s="75" t="str">
        <f>"০"</f>
        <v>০</v>
      </c>
      <c r="F2550" s="22" t="str">
        <f>"8119457000177"</f>
        <v>8119457000177</v>
      </c>
      <c r="G2550" s="75" t="str">
        <f>"১২৮৫"</f>
        <v>১২৮৫</v>
      </c>
      <c r="H2550" s="75" t="s">
        <v>315</v>
      </c>
      <c r="I2550" s="75" t="s">
        <v>315</v>
      </c>
      <c r="J2550" s="5"/>
    </row>
    <row r="2551" spans="1:10" x14ac:dyDescent="0.25">
      <c r="A2551" s="39">
        <v>2550</v>
      </c>
      <c r="B2551" s="3" t="s">
        <v>1684</v>
      </c>
      <c r="C2551" s="75" t="s">
        <v>3271</v>
      </c>
      <c r="D2551" s="75" t="s">
        <v>1360</v>
      </c>
      <c r="E2551" s="75" t="str">
        <f>"০"</f>
        <v>০</v>
      </c>
      <c r="F2551" s="22" t="str">
        <f>"8119457713938"</f>
        <v>8119457713938</v>
      </c>
      <c r="G2551" s="75" t="str">
        <f>"১২৮৪"</f>
        <v>১২৮৪</v>
      </c>
      <c r="H2551" s="75" t="s">
        <v>319</v>
      </c>
      <c r="I2551" s="75" t="s">
        <v>319</v>
      </c>
      <c r="J2551" s="5"/>
    </row>
    <row r="2552" spans="1:10" x14ac:dyDescent="0.25">
      <c r="A2552" s="39">
        <v>2551</v>
      </c>
      <c r="B2552" s="3" t="s">
        <v>3272</v>
      </c>
      <c r="C2552" s="75" t="s">
        <v>3273</v>
      </c>
      <c r="D2552" s="75" t="s">
        <v>1360</v>
      </c>
      <c r="E2552" s="75" t="str">
        <f>"০১৭১২৩৩৭৫৪৪"</f>
        <v>০১৭১২৩৩৭৫৪৪</v>
      </c>
      <c r="F2552" s="22" t="str">
        <f>"8119457713877"</f>
        <v>8119457713877</v>
      </c>
      <c r="G2552" s="75" t="str">
        <f>"১২৮৩"</f>
        <v>১২৮৩</v>
      </c>
      <c r="H2552" s="75" t="s">
        <v>319</v>
      </c>
      <c r="I2552" s="75" t="s">
        <v>319</v>
      </c>
      <c r="J2552" s="5"/>
    </row>
    <row r="2553" spans="1:10" x14ac:dyDescent="0.25">
      <c r="A2553" s="39">
        <v>2552</v>
      </c>
      <c r="B2553" s="3" t="s">
        <v>2061</v>
      </c>
      <c r="C2553" s="75" t="s">
        <v>3274</v>
      </c>
      <c r="D2553" s="75" t="s">
        <v>1360</v>
      </c>
      <c r="E2553" s="75" t="str">
        <f>"০১৭৩১০৮৯৪৪১"</f>
        <v>০১৭৩১০৮৯৪৪১</v>
      </c>
      <c r="F2553" s="22" t="str">
        <f>"8119457713875"</f>
        <v>8119457713875</v>
      </c>
      <c r="G2553" s="75" t="str">
        <f>"১২৮২"</f>
        <v>১২৮২</v>
      </c>
      <c r="H2553" s="75" t="s">
        <v>371</v>
      </c>
      <c r="I2553" s="75" t="s">
        <v>371</v>
      </c>
      <c r="J2553" s="5"/>
    </row>
    <row r="2554" spans="1:10" x14ac:dyDescent="0.25">
      <c r="A2554" s="39">
        <v>2553</v>
      </c>
      <c r="B2554" s="3" t="s">
        <v>3275</v>
      </c>
      <c r="C2554" s="75" t="s">
        <v>3246</v>
      </c>
      <c r="D2554" s="75" t="s">
        <v>1360</v>
      </c>
      <c r="E2554" s="75" t="str">
        <f>"০"</f>
        <v>০</v>
      </c>
      <c r="F2554" s="22" t="str">
        <f>"8119457713423"</f>
        <v>8119457713423</v>
      </c>
      <c r="G2554" s="75" t="str">
        <f>"১২৮১"</f>
        <v>১২৮১</v>
      </c>
      <c r="H2554" s="75" t="s">
        <v>329</v>
      </c>
      <c r="I2554" s="75" t="s">
        <v>329</v>
      </c>
      <c r="J2554" s="5"/>
    </row>
    <row r="2555" spans="1:10" x14ac:dyDescent="0.25">
      <c r="A2555" s="39">
        <v>2554</v>
      </c>
      <c r="B2555" s="3" t="s">
        <v>3276</v>
      </c>
      <c r="C2555" s="75" t="s">
        <v>3277</v>
      </c>
      <c r="D2555" s="75" t="s">
        <v>1360</v>
      </c>
      <c r="E2555" s="75" t="str">
        <f>"০"</f>
        <v>০</v>
      </c>
      <c r="F2555" s="22" t="str">
        <f>"8119457713615"</f>
        <v>8119457713615</v>
      </c>
      <c r="G2555" s="75" t="str">
        <f>"১২৮০"</f>
        <v>১২৮০</v>
      </c>
      <c r="H2555" s="75" t="s">
        <v>322</v>
      </c>
      <c r="I2555" s="75" t="s">
        <v>322</v>
      </c>
      <c r="J2555" s="5"/>
    </row>
    <row r="2556" spans="1:10" x14ac:dyDescent="0.25">
      <c r="A2556" s="39">
        <v>2555</v>
      </c>
      <c r="B2556" s="3" t="s">
        <v>3278</v>
      </c>
      <c r="C2556" s="75" t="s">
        <v>3279</v>
      </c>
      <c r="D2556" s="75" t="s">
        <v>1360</v>
      </c>
      <c r="E2556" s="75" t="str">
        <f>"০১৭৪৫৯৩৪৯৯৭"</f>
        <v>০১৭৪৫৯৩৪৯৯৭</v>
      </c>
      <c r="F2556" s="22" t="str">
        <f>"8119457713606"</f>
        <v>8119457713606</v>
      </c>
      <c r="G2556" s="75" t="str">
        <f>"১২৭৯"</f>
        <v>১২৭৯</v>
      </c>
      <c r="H2556" s="75" t="s">
        <v>319</v>
      </c>
      <c r="I2556" s="75" t="s">
        <v>319</v>
      </c>
      <c r="J2556" s="5"/>
    </row>
    <row r="2557" spans="1:10" x14ac:dyDescent="0.25">
      <c r="A2557" s="39">
        <v>2556</v>
      </c>
      <c r="B2557" s="3" t="s">
        <v>3280</v>
      </c>
      <c r="C2557" s="75" t="s">
        <v>3281</v>
      </c>
      <c r="D2557" s="75" t="s">
        <v>1360</v>
      </c>
      <c r="E2557" s="75" t="str">
        <f>"০১৭৩১৩৭৬৭৪২"</f>
        <v>০১৭৩১৩৭৬৭৪২</v>
      </c>
      <c r="F2557" s="22" t="str">
        <f>"8119457713688"</f>
        <v>8119457713688</v>
      </c>
      <c r="G2557" s="75" t="str">
        <f>"১২৭৮"</f>
        <v>১২৭৮</v>
      </c>
      <c r="H2557" s="75" t="s">
        <v>330</v>
      </c>
      <c r="I2557" s="75" t="s">
        <v>330</v>
      </c>
      <c r="J2557" s="5"/>
    </row>
    <row r="2558" spans="1:10" x14ac:dyDescent="0.25">
      <c r="A2558" s="39">
        <v>2557</v>
      </c>
      <c r="B2558" s="3" t="s">
        <v>3282</v>
      </c>
      <c r="C2558" s="75" t="s">
        <v>3283</v>
      </c>
      <c r="D2558" s="75" t="s">
        <v>1360</v>
      </c>
      <c r="E2558" s="75" t="str">
        <f>"০১৭৩৯৫৪৪৩৯৪"</f>
        <v>০১৭৩৯৫৪৪৩৯৪</v>
      </c>
      <c r="F2558" s="22" t="str">
        <f>"8119457713612"</f>
        <v>8119457713612</v>
      </c>
      <c r="G2558" s="75" t="str">
        <f>"১২৭৭"</f>
        <v>১২৭৭</v>
      </c>
      <c r="H2558" s="75" t="s">
        <v>329</v>
      </c>
      <c r="I2558" s="75" t="s">
        <v>329</v>
      </c>
      <c r="J2558" s="5"/>
    </row>
    <row r="2559" spans="1:10" x14ac:dyDescent="0.25">
      <c r="A2559" s="39">
        <v>2558</v>
      </c>
      <c r="B2559" s="3" t="s">
        <v>3284</v>
      </c>
      <c r="C2559" s="75" t="s">
        <v>3285</v>
      </c>
      <c r="D2559" s="75" t="s">
        <v>1360</v>
      </c>
      <c r="E2559" s="75" t="str">
        <f>"০১৭৭০৯২৮১৯২"</f>
        <v>০১৭৭০৯২৮১৯২</v>
      </c>
      <c r="F2559" s="22" t="str">
        <f>"8119457713684"</f>
        <v>8119457713684</v>
      </c>
      <c r="G2559" s="75" t="str">
        <f>"১২৭৬"</f>
        <v>১২৭৬</v>
      </c>
      <c r="H2559" s="75" t="s">
        <v>322</v>
      </c>
      <c r="I2559" s="75" t="s">
        <v>322</v>
      </c>
      <c r="J2559" s="5"/>
    </row>
    <row r="2560" spans="1:10" x14ac:dyDescent="0.25">
      <c r="A2560" s="39">
        <v>2559</v>
      </c>
      <c r="B2560" s="3" t="s">
        <v>3286</v>
      </c>
      <c r="C2560" s="75" t="s">
        <v>3285</v>
      </c>
      <c r="D2560" s="75" t="s">
        <v>1360</v>
      </c>
      <c r="E2560" s="75" t="str">
        <f>"০৭৩৭৬০০৬৩৮"</f>
        <v>০৭৩৭৬০০৬৩৮</v>
      </c>
      <c r="F2560" s="22" t="str">
        <f>"8119457713675"</f>
        <v>8119457713675</v>
      </c>
      <c r="G2560" s="75" t="str">
        <f>"১২৭৫"</f>
        <v>১২৭৫</v>
      </c>
      <c r="H2560" s="75" t="s">
        <v>319</v>
      </c>
      <c r="I2560" s="75" t="s">
        <v>319</v>
      </c>
      <c r="J2560" s="5"/>
    </row>
    <row r="2561" spans="1:10" x14ac:dyDescent="0.25">
      <c r="A2561" s="39">
        <v>2560</v>
      </c>
      <c r="B2561" s="3" t="s">
        <v>3285</v>
      </c>
      <c r="C2561" s="75" t="s">
        <v>3279</v>
      </c>
      <c r="D2561" s="75" t="s">
        <v>1360</v>
      </c>
      <c r="E2561" s="75" t="str">
        <f>"০"</f>
        <v>০</v>
      </c>
      <c r="F2561" s="22" t="str">
        <f>"8119457713687"</f>
        <v>8119457713687</v>
      </c>
      <c r="G2561" s="75" t="str">
        <f>"১২৭৪"</f>
        <v>১২৭৪</v>
      </c>
      <c r="H2561" s="75" t="s">
        <v>456</v>
      </c>
      <c r="I2561" s="75" t="s">
        <v>456</v>
      </c>
      <c r="J2561" s="5"/>
    </row>
    <row r="2562" spans="1:10" x14ac:dyDescent="0.25">
      <c r="A2562" s="39">
        <v>2561</v>
      </c>
      <c r="B2562" s="3" t="s">
        <v>3287</v>
      </c>
      <c r="C2562" s="75" t="s">
        <v>3255</v>
      </c>
      <c r="D2562" s="75" t="s">
        <v>1360</v>
      </c>
      <c r="E2562" s="75" t="str">
        <f>"০১৭৪২১৮৭৮৯৮"</f>
        <v>০১৭৪২১৮৭৮৯৮</v>
      </c>
      <c r="F2562" s="22" t="str">
        <f>"8119457713613"</f>
        <v>8119457713613</v>
      </c>
      <c r="G2562" s="75" t="str">
        <f>"১২৭৩"</f>
        <v>১২৭৩</v>
      </c>
      <c r="H2562" s="75" t="s">
        <v>1394</v>
      </c>
      <c r="I2562" s="75" t="s">
        <v>1394</v>
      </c>
      <c r="J2562" s="5"/>
    </row>
    <row r="2563" spans="1:10" x14ac:dyDescent="0.25">
      <c r="A2563" s="39">
        <v>2562</v>
      </c>
      <c r="B2563" s="3" t="s">
        <v>1563</v>
      </c>
      <c r="C2563" s="75" t="s">
        <v>3288</v>
      </c>
      <c r="D2563" s="75" t="s">
        <v>1360</v>
      </c>
      <c r="E2563" s="75" t="str">
        <f>"০১৭৭০৯৬৩২৯২"</f>
        <v>০১৭৭০৯৬৩২৯২</v>
      </c>
      <c r="F2563" s="22" t="str">
        <f>"8119457713151"</f>
        <v>8119457713151</v>
      </c>
      <c r="G2563" s="75" t="str">
        <f>"১২৭২"</f>
        <v>১২৭২</v>
      </c>
      <c r="H2563" s="75" t="s">
        <v>319</v>
      </c>
      <c r="I2563" s="75" t="s">
        <v>319</v>
      </c>
      <c r="J2563" s="5"/>
    </row>
    <row r="2564" spans="1:10" x14ac:dyDescent="0.25">
      <c r="A2564" s="39">
        <v>2563</v>
      </c>
      <c r="B2564" s="3" t="s">
        <v>1637</v>
      </c>
      <c r="C2564" s="75" t="s">
        <v>3289</v>
      </c>
      <c r="D2564" s="75" t="s">
        <v>1360</v>
      </c>
      <c r="E2564" s="75" t="str">
        <f>"০১৭৪৩২৫৮৩১৪"</f>
        <v>০১৭৪৩২৫৮৩১৪</v>
      </c>
      <c r="F2564" s="22" t="str">
        <f>"8119457713628"</f>
        <v>8119457713628</v>
      </c>
      <c r="G2564" s="75" t="str">
        <f>"১২৭১"</f>
        <v>১২৭১</v>
      </c>
      <c r="H2564" s="75" t="s">
        <v>456</v>
      </c>
      <c r="I2564" s="75" t="s">
        <v>456</v>
      </c>
      <c r="J2564" s="5"/>
    </row>
    <row r="2565" spans="1:10" x14ac:dyDescent="0.25">
      <c r="A2565" s="39">
        <v>2564</v>
      </c>
      <c r="B2565" s="3" t="s">
        <v>3290</v>
      </c>
      <c r="C2565" s="75" t="s">
        <v>3291</v>
      </c>
      <c r="D2565" s="75" t="s">
        <v>1360</v>
      </c>
      <c r="E2565" s="75" t="str">
        <f>"০১৭৬১০৮৯৬১৯"</f>
        <v>০১৭৬১০৮৯৬১৯</v>
      </c>
      <c r="F2565" s="22" t="str">
        <f>"8119457713204"</f>
        <v>8119457713204</v>
      </c>
      <c r="G2565" s="75" t="str">
        <f>"১২৭০"</f>
        <v>১২৭০</v>
      </c>
      <c r="H2565" s="75" t="s">
        <v>330</v>
      </c>
      <c r="I2565" s="75" t="s">
        <v>330</v>
      </c>
      <c r="J2565" s="5"/>
    </row>
    <row r="2566" spans="1:10" x14ac:dyDescent="0.25">
      <c r="A2566" s="39">
        <v>2565</v>
      </c>
      <c r="B2566" s="3" t="s">
        <v>3292</v>
      </c>
      <c r="C2566" s="75" t="s">
        <v>3293</v>
      </c>
      <c r="D2566" s="75" t="s">
        <v>1360</v>
      </c>
      <c r="E2566" s="75" t="str">
        <f>"০"</f>
        <v>০</v>
      </c>
      <c r="F2566" s="22" t="str">
        <f>"811945771362"</f>
        <v>811945771362</v>
      </c>
      <c r="G2566" s="75" t="str">
        <f>"১২৬৯"</f>
        <v>১২৬৯</v>
      </c>
      <c r="H2566" s="75" t="s">
        <v>319</v>
      </c>
      <c r="I2566" s="75" t="s">
        <v>319</v>
      </c>
      <c r="J2566" s="5"/>
    </row>
    <row r="2567" spans="1:10" x14ac:dyDescent="0.25">
      <c r="A2567" s="39">
        <v>2566</v>
      </c>
      <c r="B2567" s="3" t="s">
        <v>3147</v>
      </c>
      <c r="C2567" s="75" t="s">
        <v>3294</v>
      </c>
      <c r="D2567" s="75" t="s">
        <v>1360</v>
      </c>
      <c r="E2567" s="75" t="str">
        <f>"০১৭৩০৯৬৮১৪০"</f>
        <v>০১৭৩০৯৬৮১৪০</v>
      </c>
      <c r="F2567" s="22" t="str">
        <f>"8119457713849"</f>
        <v>8119457713849</v>
      </c>
      <c r="G2567" s="75" t="str">
        <f>"১২৬৮"</f>
        <v>১২৬৮</v>
      </c>
      <c r="H2567" s="75" t="s">
        <v>322</v>
      </c>
      <c r="I2567" s="75" t="s">
        <v>322</v>
      </c>
      <c r="J2567" s="5"/>
    </row>
    <row r="2568" spans="1:10" x14ac:dyDescent="0.25">
      <c r="A2568" s="39">
        <v>2567</v>
      </c>
      <c r="B2568" s="3" t="s">
        <v>1550</v>
      </c>
      <c r="C2568" s="75" t="s">
        <v>3295</v>
      </c>
      <c r="D2568" s="75" t="s">
        <v>1360</v>
      </c>
      <c r="E2568" s="75" t="str">
        <f>"০১৭৯২৮০৮৬২৮"</f>
        <v>০১৭৯২৮০৮৬২৮</v>
      </c>
      <c r="F2568" s="22" t="str">
        <f>"8119457713558"</f>
        <v>8119457713558</v>
      </c>
      <c r="G2568" s="75" t="str">
        <f>"১২৬৭"</f>
        <v>১২৬৭</v>
      </c>
      <c r="H2568" s="75" t="s">
        <v>364</v>
      </c>
      <c r="I2568" s="75" t="s">
        <v>364</v>
      </c>
      <c r="J2568" s="5"/>
    </row>
    <row r="2569" spans="1:10" x14ac:dyDescent="0.25">
      <c r="A2569" s="39">
        <v>2568</v>
      </c>
      <c r="B2569" s="3" t="s">
        <v>1560</v>
      </c>
      <c r="C2569" s="75" t="s">
        <v>3296</v>
      </c>
      <c r="D2569" s="75" t="s">
        <v>1360</v>
      </c>
      <c r="E2569" s="75" t="str">
        <f>"০"</f>
        <v>০</v>
      </c>
      <c r="F2569" s="22" t="str">
        <f>"8119457713861"</f>
        <v>8119457713861</v>
      </c>
      <c r="G2569" s="75" t="str">
        <f>"১২৬৬"</f>
        <v>১২৬৬</v>
      </c>
      <c r="H2569" s="75" t="s">
        <v>319</v>
      </c>
      <c r="I2569" s="75" t="s">
        <v>319</v>
      </c>
      <c r="J2569" s="5"/>
    </row>
    <row r="2570" spans="1:10" x14ac:dyDescent="0.25">
      <c r="A2570" s="39">
        <v>2569</v>
      </c>
      <c r="B2570" s="3" t="s">
        <v>3297</v>
      </c>
      <c r="C2570" s="75" t="s">
        <v>1665</v>
      </c>
      <c r="D2570" s="75" t="s">
        <v>1360</v>
      </c>
      <c r="E2570" s="75" t="str">
        <f>"০১৭৪২১৮৭৮৯৭"</f>
        <v>০১৭৪২১৮৭৮৯৭</v>
      </c>
      <c r="F2570" s="22" t="str">
        <f>"8119457000125"</f>
        <v>8119457000125</v>
      </c>
      <c r="G2570" s="75" t="str">
        <f>"১২৬৫"</f>
        <v>১২৬৫</v>
      </c>
      <c r="H2570" s="75" t="s">
        <v>329</v>
      </c>
      <c r="I2570" s="75" t="s">
        <v>329</v>
      </c>
      <c r="J2570" s="5"/>
    </row>
    <row r="2571" spans="1:10" x14ac:dyDescent="0.25">
      <c r="A2571" s="39">
        <v>2570</v>
      </c>
      <c r="B2571" s="3" t="s">
        <v>3298</v>
      </c>
      <c r="C2571" s="75" t="s">
        <v>3299</v>
      </c>
      <c r="D2571" s="75" t="s">
        <v>1360</v>
      </c>
      <c r="E2571" s="75" t="str">
        <f>"০"</f>
        <v>০</v>
      </c>
      <c r="F2571" s="22" t="str">
        <f>"8119457713205"</f>
        <v>8119457713205</v>
      </c>
      <c r="G2571" s="75" t="str">
        <f>"১২৬৪"</f>
        <v>১২৬৪</v>
      </c>
      <c r="H2571" s="75" t="s">
        <v>330</v>
      </c>
      <c r="I2571" s="75" t="s">
        <v>330</v>
      </c>
      <c r="J2571" s="5"/>
    </row>
    <row r="2572" spans="1:10" x14ac:dyDescent="0.25">
      <c r="A2572" s="39">
        <v>2571</v>
      </c>
      <c r="B2572" s="3" t="s">
        <v>3300</v>
      </c>
      <c r="C2572" s="75" t="s">
        <v>1665</v>
      </c>
      <c r="D2572" s="75" t="s">
        <v>1360</v>
      </c>
      <c r="E2572" s="75" t="str">
        <f>"০১৭৪২১৮৭৮৯৯"</f>
        <v>০১৭৪২১৮৭৮৯৯</v>
      </c>
      <c r="F2572" s="22" t="str">
        <f>"8119457714369"</f>
        <v>8119457714369</v>
      </c>
      <c r="G2572" s="75" t="str">
        <f>"১২৬৩"</f>
        <v>১২৬৩</v>
      </c>
      <c r="H2572" s="75" t="s">
        <v>319</v>
      </c>
      <c r="I2572" s="75" t="s">
        <v>319</v>
      </c>
      <c r="J2572" s="5"/>
    </row>
    <row r="2573" spans="1:10" x14ac:dyDescent="0.25">
      <c r="A2573" s="39">
        <v>2572</v>
      </c>
      <c r="B2573" s="3" t="s">
        <v>2147</v>
      </c>
      <c r="C2573" s="75" t="s">
        <v>3301</v>
      </c>
      <c r="D2573" s="75" t="s">
        <v>1360</v>
      </c>
      <c r="E2573" s="75" t="str">
        <f>"০১৭২৫৯৯৫৭৯৩"</f>
        <v>০১৭২৫৯৯৫৭৯৩</v>
      </c>
      <c r="F2573" s="22" t="str">
        <f>"8119457713037"</f>
        <v>8119457713037</v>
      </c>
      <c r="G2573" s="75" t="str">
        <f>"১২৬২"</f>
        <v>১২৬২</v>
      </c>
      <c r="H2573" s="75" t="s">
        <v>319</v>
      </c>
      <c r="I2573" s="75" t="s">
        <v>319</v>
      </c>
      <c r="J2573" s="5"/>
    </row>
    <row r="2574" spans="1:10" x14ac:dyDescent="0.25">
      <c r="A2574" s="39">
        <v>2573</v>
      </c>
      <c r="B2574" s="3" t="s">
        <v>1665</v>
      </c>
      <c r="C2574" s="75" t="s">
        <v>2895</v>
      </c>
      <c r="D2574" s="75" t="s">
        <v>1360</v>
      </c>
      <c r="E2574" s="75" t="str">
        <f>"০১৭৩৬০১৯৪৭৫"</f>
        <v>০১৭৩৬০১৯৪৭৫</v>
      </c>
      <c r="F2574" s="22" t="str">
        <f>"8119457713267"</f>
        <v>8119457713267</v>
      </c>
      <c r="G2574" s="75" t="str">
        <f>"১২৬১"</f>
        <v>১২৬১</v>
      </c>
      <c r="H2574" s="75" t="s">
        <v>330</v>
      </c>
      <c r="I2574" s="75" t="s">
        <v>330</v>
      </c>
      <c r="J2574" s="5"/>
    </row>
    <row r="2575" spans="1:10" x14ac:dyDescent="0.25">
      <c r="A2575" s="39">
        <v>2574</v>
      </c>
      <c r="B2575" s="3" t="s">
        <v>3302</v>
      </c>
      <c r="C2575" s="75" t="s">
        <v>3303</v>
      </c>
      <c r="D2575" s="75" t="s">
        <v>1360</v>
      </c>
      <c r="E2575" s="75" t="str">
        <f>"০১৭৪৩৬৬০৪৬৪"</f>
        <v>০১৭৪৩৬৬০৪৬৪</v>
      </c>
      <c r="F2575" s="22" t="str">
        <f>"8119457713162"</f>
        <v>8119457713162</v>
      </c>
      <c r="G2575" s="75" t="str">
        <f>"১২৬০"</f>
        <v>১২৬০</v>
      </c>
      <c r="H2575" s="75" t="s">
        <v>319</v>
      </c>
      <c r="I2575" s="75" t="s">
        <v>319</v>
      </c>
      <c r="J2575" s="5"/>
    </row>
    <row r="2576" spans="1:10" x14ac:dyDescent="0.25">
      <c r="A2576" s="39">
        <v>2575</v>
      </c>
      <c r="B2576" s="3" t="s">
        <v>3304</v>
      </c>
      <c r="C2576" s="75" t="s">
        <v>3305</v>
      </c>
      <c r="D2576" s="75" t="s">
        <v>1360</v>
      </c>
      <c r="E2576" s="75" t="str">
        <f>"০১৭৪৩৬৫৯৩৪৮"</f>
        <v>০১৭৪৩৬৫৯৩৪৮</v>
      </c>
      <c r="F2576" s="22" t="str">
        <f>"8119457713669"</f>
        <v>8119457713669</v>
      </c>
      <c r="G2576" s="75" t="str">
        <f>"১২৫৯"</f>
        <v>১২৫৯</v>
      </c>
      <c r="H2576" s="75" t="s">
        <v>329</v>
      </c>
      <c r="I2576" s="75" t="s">
        <v>329</v>
      </c>
      <c r="J2576" s="5"/>
    </row>
    <row r="2577" spans="1:10" x14ac:dyDescent="0.25">
      <c r="A2577" s="39">
        <v>2576</v>
      </c>
      <c r="B2577" s="3" t="s">
        <v>3306</v>
      </c>
      <c r="C2577" s="75" t="s">
        <v>2253</v>
      </c>
      <c r="D2577" s="75" t="s">
        <v>1360</v>
      </c>
      <c r="E2577" s="75" t="str">
        <f>"০১৭৩৬০৭৬৯৩১"</f>
        <v>০১৭৩৬০৭৬৯৩১</v>
      </c>
      <c r="F2577" s="22" t="str">
        <f>"8119457713921"</f>
        <v>8119457713921</v>
      </c>
      <c r="G2577" s="75" t="str">
        <f>"১২৫৮"</f>
        <v>১২৫৮</v>
      </c>
      <c r="H2577" s="75" t="s">
        <v>315</v>
      </c>
      <c r="I2577" s="75" t="s">
        <v>315</v>
      </c>
      <c r="J2577" s="5"/>
    </row>
    <row r="2578" spans="1:10" x14ac:dyDescent="0.25">
      <c r="A2578" s="39">
        <v>2577</v>
      </c>
      <c r="B2578" s="3" t="s">
        <v>3307</v>
      </c>
      <c r="C2578" s="75" t="s">
        <v>3308</v>
      </c>
      <c r="D2578" s="75" t="s">
        <v>1360</v>
      </c>
      <c r="E2578" s="75" t="str">
        <f>"০১৭৫২৫৮৬০৮৪"</f>
        <v>০১৭৫২৫৮৬০৮৪</v>
      </c>
      <c r="F2578" s="22" t="str">
        <f>"8119457713939"</f>
        <v>8119457713939</v>
      </c>
      <c r="G2578" s="75" t="str">
        <f>"১২৫৭"</f>
        <v>১২৫৭</v>
      </c>
      <c r="H2578" s="75" t="s">
        <v>322</v>
      </c>
      <c r="I2578" s="75" t="s">
        <v>322</v>
      </c>
      <c r="J2578" s="5"/>
    </row>
    <row r="2579" spans="1:10" x14ac:dyDescent="0.25">
      <c r="A2579" s="39">
        <v>2578</v>
      </c>
      <c r="B2579" s="3" t="s">
        <v>1853</v>
      </c>
      <c r="C2579" s="75" t="s">
        <v>2314</v>
      </c>
      <c r="D2579" s="75" t="s">
        <v>1360</v>
      </c>
      <c r="E2579" s="75" t="str">
        <f>"০১৭৬০৮৫৮৫৭০"</f>
        <v>০১৭৬০৮৫৮৫৭০</v>
      </c>
      <c r="F2579" s="22" t="str">
        <f>"8119457713557"</f>
        <v>8119457713557</v>
      </c>
      <c r="G2579" s="75" t="str">
        <f>"১২৫৬"</f>
        <v>১২৫৬</v>
      </c>
      <c r="H2579" s="75" t="s">
        <v>319</v>
      </c>
      <c r="I2579" s="75" t="s">
        <v>319</v>
      </c>
      <c r="J2579" s="5"/>
    </row>
    <row r="2580" spans="1:10" x14ac:dyDescent="0.25">
      <c r="A2580" s="39">
        <v>2579</v>
      </c>
      <c r="B2580" s="3" t="s">
        <v>2314</v>
      </c>
      <c r="C2580" s="75" t="s">
        <v>3309</v>
      </c>
      <c r="D2580" s="75" t="s">
        <v>1360</v>
      </c>
      <c r="E2580" s="75" t="str">
        <f>"০"</f>
        <v>০</v>
      </c>
      <c r="F2580" s="22" t="str">
        <f>"8119457713565"</f>
        <v>8119457713565</v>
      </c>
      <c r="G2580" s="75" t="str">
        <f>"১২৫৫"</f>
        <v>১২৫৫</v>
      </c>
      <c r="H2580" s="75" t="s">
        <v>319</v>
      </c>
      <c r="I2580" s="75" t="s">
        <v>319</v>
      </c>
      <c r="J2580" s="5"/>
    </row>
    <row r="2581" spans="1:10" x14ac:dyDescent="0.25">
      <c r="A2581" s="39">
        <v>2580</v>
      </c>
      <c r="B2581" s="3" t="s">
        <v>3310</v>
      </c>
      <c r="C2581" s="75" t="s">
        <v>3255</v>
      </c>
      <c r="D2581" s="75" t="s">
        <v>1360</v>
      </c>
      <c r="E2581" s="75" t="str">
        <f>"০১৭১০১৩৯৫৯৭"</f>
        <v>০১৭১০১৩৯৫৯৭</v>
      </c>
      <c r="F2581" s="22" t="str">
        <f>"8119457713617"</f>
        <v>8119457713617</v>
      </c>
      <c r="G2581" s="75" t="str">
        <f>"১২৫৪"</f>
        <v>১২৫৪</v>
      </c>
      <c r="H2581" s="75" t="s">
        <v>319</v>
      </c>
      <c r="I2581" s="75" t="s">
        <v>319</v>
      </c>
      <c r="J2581" s="5"/>
    </row>
    <row r="2582" spans="1:10" x14ac:dyDescent="0.25">
      <c r="A2582" s="39">
        <v>2581</v>
      </c>
      <c r="B2582" s="3" t="s">
        <v>3311</v>
      </c>
      <c r="C2582" s="75" t="s">
        <v>3312</v>
      </c>
      <c r="D2582" s="75" t="s">
        <v>1360</v>
      </c>
      <c r="E2582" s="75" t="str">
        <f>"০১৭৭৫৩২১৭৮৪"</f>
        <v>০১৭৭৫৩২১৭৮৪</v>
      </c>
      <c r="F2582" s="22" t="str">
        <f>"8119457713505"</f>
        <v>8119457713505</v>
      </c>
      <c r="G2582" s="75" t="str">
        <f>"১২৫৩"</f>
        <v>১২৫৩</v>
      </c>
      <c r="H2582" s="75" t="s">
        <v>456</v>
      </c>
      <c r="I2582" s="75" t="s">
        <v>456</v>
      </c>
      <c r="J2582" s="5"/>
    </row>
    <row r="2583" spans="1:10" x14ac:dyDescent="0.25">
      <c r="A2583" s="39">
        <v>2582</v>
      </c>
      <c r="B2583" s="3" t="s">
        <v>3313</v>
      </c>
      <c r="C2583" s="75" t="s">
        <v>3314</v>
      </c>
      <c r="D2583" s="75" t="s">
        <v>1360</v>
      </c>
      <c r="E2583" s="75" t="str">
        <f>"০১৭২৩৮৩৩১২০"</f>
        <v>০১৭২৩৮৩৩১২০</v>
      </c>
      <c r="F2583" s="22" t="str">
        <f>"8119457713651"</f>
        <v>8119457713651</v>
      </c>
      <c r="G2583" s="75" t="str">
        <f>"১২৫২"</f>
        <v>১২৫২</v>
      </c>
      <c r="H2583" s="75" t="s">
        <v>319</v>
      </c>
      <c r="I2583" s="75" t="s">
        <v>319</v>
      </c>
      <c r="J2583" s="5"/>
    </row>
    <row r="2584" spans="1:10" x14ac:dyDescent="0.25">
      <c r="A2584" s="39">
        <v>2583</v>
      </c>
      <c r="B2584" s="3" t="s">
        <v>3315</v>
      </c>
      <c r="C2584" s="75" t="s">
        <v>3314</v>
      </c>
      <c r="D2584" s="75" t="s">
        <v>1360</v>
      </c>
      <c r="E2584" s="75" t="str">
        <f>"০১৭২৫৬১৯৬৯২"</f>
        <v>০১৭২৫৬১৯৬৯২</v>
      </c>
      <c r="F2584" s="22" t="str">
        <f>"8119457713709"</f>
        <v>8119457713709</v>
      </c>
      <c r="G2584" s="75" t="str">
        <f>"১২৫১"</f>
        <v>১২৫১</v>
      </c>
      <c r="H2584" s="75" t="s">
        <v>319</v>
      </c>
      <c r="I2584" s="75" t="s">
        <v>319</v>
      </c>
      <c r="J2584" s="5"/>
    </row>
    <row r="2585" spans="1:10" x14ac:dyDescent="0.25">
      <c r="A2585" s="39">
        <v>2584</v>
      </c>
      <c r="B2585" s="3" t="s">
        <v>1564</v>
      </c>
      <c r="C2585" s="75" t="s">
        <v>3099</v>
      </c>
      <c r="D2585" s="75" t="s">
        <v>1360</v>
      </c>
      <c r="E2585" s="75" t="str">
        <f>"০"</f>
        <v>০</v>
      </c>
      <c r="F2585" s="22" t="str">
        <f>"8119457000233"</f>
        <v>8119457000233</v>
      </c>
      <c r="G2585" s="75" t="str">
        <f>"১২৫০"</f>
        <v>১২৫০</v>
      </c>
      <c r="H2585" s="75" t="s">
        <v>1394</v>
      </c>
      <c r="I2585" s="75" t="s">
        <v>1394</v>
      </c>
      <c r="J2585" s="5"/>
    </row>
    <row r="2586" spans="1:10" x14ac:dyDescent="0.25">
      <c r="A2586" s="39">
        <v>2585</v>
      </c>
      <c r="B2586" s="3" t="s">
        <v>3316</v>
      </c>
      <c r="C2586" s="75" t="s">
        <v>3317</v>
      </c>
      <c r="D2586" s="75" t="s">
        <v>1360</v>
      </c>
      <c r="E2586" s="75" t="str">
        <f>"০"</f>
        <v>০</v>
      </c>
      <c r="F2586" s="22" t="str">
        <f>"8119457713206"</f>
        <v>8119457713206</v>
      </c>
      <c r="G2586" s="75" t="str">
        <f>"১২৪৯"</f>
        <v>১২৪৯</v>
      </c>
      <c r="H2586" s="75" t="s">
        <v>319</v>
      </c>
      <c r="I2586" s="75" t="s">
        <v>319</v>
      </c>
      <c r="J2586" s="5"/>
    </row>
    <row r="2587" spans="1:10" x14ac:dyDescent="0.25">
      <c r="A2587" s="39">
        <v>2586</v>
      </c>
      <c r="B2587" s="3" t="s">
        <v>2492</v>
      </c>
      <c r="C2587" s="75" t="s">
        <v>3258</v>
      </c>
      <c r="D2587" s="75" t="s">
        <v>1360</v>
      </c>
      <c r="E2587" s="75" t="str">
        <f>"০১৭১৫২৭১৫৭৬"</f>
        <v>০১৭১৫২৭১৫৭৬</v>
      </c>
      <c r="F2587" s="22" t="str">
        <f>"8119457713671"</f>
        <v>8119457713671</v>
      </c>
      <c r="G2587" s="75" t="str">
        <f>"১২৪৮"</f>
        <v>১২৪৮</v>
      </c>
      <c r="H2587" s="75" t="s">
        <v>319</v>
      </c>
      <c r="I2587" s="75" t="s">
        <v>319</v>
      </c>
      <c r="J2587" s="5"/>
    </row>
    <row r="2588" spans="1:10" x14ac:dyDescent="0.25">
      <c r="A2588" s="39">
        <v>2587</v>
      </c>
      <c r="B2588" s="3" t="s">
        <v>3318</v>
      </c>
      <c r="C2588" s="75" t="s">
        <v>3258</v>
      </c>
      <c r="D2588" s="75" t="s">
        <v>1360</v>
      </c>
      <c r="E2588" s="75" t="str">
        <f>"০১৯১৫৫০৪২০৯"</f>
        <v>০১৯১৫৫০৪২০৯</v>
      </c>
      <c r="F2588" s="22" t="str">
        <f>"8119457713686"</f>
        <v>8119457713686</v>
      </c>
      <c r="G2588" s="75" t="str">
        <f>"১২৪৭"</f>
        <v>১২৪৭</v>
      </c>
      <c r="H2588" s="75" t="s">
        <v>456</v>
      </c>
      <c r="I2588" s="75" t="s">
        <v>456</v>
      </c>
      <c r="J2588" s="5"/>
    </row>
    <row r="2589" spans="1:10" x14ac:dyDescent="0.25">
      <c r="A2589" s="39">
        <v>2588</v>
      </c>
      <c r="B2589" s="3" t="s">
        <v>1781</v>
      </c>
      <c r="C2589" s="75" t="s">
        <v>3258</v>
      </c>
      <c r="D2589" s="75" t="s">
        <v>1360</v>
      </c>
      <c r="E2589" s="75" t="str">
        <f>"০১৭১৫২৭১৫৮০"</f>
        <v>০১৭১৫২৭১৫৮০</v>
      </c>
      <c r="F2589" s="22" t="str">
        <f>"8119457713679"</f>
        <v>8119457713679</v>
      </c>
      <c r="G2589" s="75" t="str">
        <f>"১২৪৬"</f>
        <v>১২৪৬</v>
      </c>
      <c r="H2589" s="75" t="s">
        <v>322</v>
      </c>
      <c r="I2589" s="75" t="s">
        <v>322</v>
      </c>
      <c r="J2589" s="5"/>
    </row>
    <row r="2590" spans="1:10" x14ac:dyDescent="0.25">
      <c r="A2590" s="39">
        <v>2589</v>
      </c>
      <c r="B2590" s="3" t="s">
        <v>3319</v>
      </c>
      <c r="C2590" s="75" t="s">
        <v>2895</v>
      </c>
      <c r="D2590" s="75" t="s">
        <v>1360</v>
      </c>
      <c r="E2590" s="75" t="str">
        <f>"০১৭৩১৪৯৭১৭৩"</f>
        <v>০১৭৩১৪৯৭১৭৩</v>
      </c>
      <c r="F2590" s="22" t="str">
        <f>"8119457713372"</f>
        <v>8119457713372</v>
      </c>
      <c r="G2590" s="75" t="str">
        <f>"১২৪৫"</f>
        <v>১২৪৫</v>
      </c>
      <c r="H2590" s="75" t="s">
        <v>1434</v>
      </c>
      <c r="I2590" s="75" t="s">
        <v>1434</v>
      </c>
      <c r="J2590" s="5"/>
    </row>
    <row r="2591" spans="1:10" x14ac:dyDescent="0.25">
      <c r="A2591" s="39">
        <v>2590</v>
      </c>
      <c r="B2591" s="3" t="s">
        <v>3320</v>
      </c>
      <c r="C2591" s="75" t="s">
        <v>3321</v>
      </c>
      <c r="D2591" s="75" t="s">
        <v>1360</v>
      </c>
      <c r="E2591" s="75" t="str">
        <f>"০১৭৪৫১৬১৩৫৮"</f>
        <v>০১৭৪৫১৬১৩৫৮</v>
      </c>
      <c r="F2591" s="22" t="str">
        <f>"8119457713683"</f>
        <v>8119457713683</v>
      </c>
      <c r="G2591" s="75" t="str">
        <f>"১২৪৪"</f>
        <v>১২৪৪</v>
      </c>
      <c r="H2591" s="75" t="s">
        <v>319</v>
      </c>
      <c r="I2591" s="75" t="s">
        <v>319</v>
      </c>
      <c r="J2591" s="5"/>
    </row>
    <row r="2592" spans="1:10" x14ac:dyDescent="0.25">
      <c r="A2592" s="39">
        <v>2591</v>
      </c>
      <c r="B2592" s="3" t="s">
        <v>3322</v>
      </c>
      <c r="C2592" s="75" t="s">
        <v>3323</v>
      </c>
      <c r="D2592" s="75" t="s">
        <v>1360</v>
      </c>
      <c r="E2592" s="75" t="str">
        <f>"০১৭৬৩৯৩৩৬৮৬"</f>
        <v>০১৭৬৩৯৩৩৬৮৬</v>
      </c>
      <c r="F2592" s="22" t="str">
        <f>"8119457713705"</f>
        <v>8119457713705</v>
      </c>
      <c r="G2592" s="75" t="str">
        <f>"১২৪৩"</f>
        <v>১২৪৩</v>
      </c>
      <c r="H2592" s="75" t="s">
        <v>371</v>
      </c>
      <c r="I2592" s="75" t="s">
        <v>371</v>
      </c>
      <c r="J2592" s="5"/>
    </row>
    <row r="2593" spans="1:10" x14ac:dyDescent="0.25">
      <c r="A2593" s="39">
        <v>2592</v>
      </c>
      <c r="B2593" s="3" t="s">
        <v>3324</v>
      </c>
      <c r="C2593" s="75" t="s">
        <v>3325</v>
      </c>
      <c r="D2593" s="75" t="s">
        <v>1360</v>
      </c>
      <c r="E2593" s="75" t="str">
        <f>"০১৭৭৩২৪৮৫৩৪"</f>
        <v>০১৭৭৩২৪৮৫৩৪</v>
      </c>
      <c r="F2593" s="22" t="str">
        <f>"8119457713936"</f>
        <v>8119457713936</v>
      </c>
      <c r="G2593" s="75" t="str">
        <f>"১২৪২"</f>
        <v>১২৪২</v>
      </c>
      <c r="H2593" s="75" t="s">
        <v>322</v>
      </c>
      <c r="I2593" s="75" t="s">
        <v>322</v>
      </c>
      <c r="J2593" s="5"/>
    </row>
    <row r="2594" spans="1:10" x14ac:dyDescent="0.25">
      <c r="A2594" s="39">
        <v>2593</v>
      </c>
      <c r="B2594" s="3" t="s">
        <v>2048</v>
      </c>
      <c r="C2594" s="75" t="s">
        <v>2498</v>
      </c>
      <c r="D2594" s="75" t="s">
        <v>1360</v>
      </c>
      <c r="E2594" s="75" t="str">
        <f>"০১৭৮৬৯২৫৪৭৬"</f>
        <v>০১৭৮৬৯২৫৪৭৬</v>
      </c>
      <c r="F2594" s="22" t="str">
        <f>"8119457713540"</f>
        <v>8119457713540</v>
      </c>
      <c r="G2594" s="75" t="str">
        <f>"১২৪"</f>
        <v>১২৪</v>
      </c>
      <c r="H2594" s="75" t="s">
        <v>371</v>
      </c>
      <c r="I2594" s="75" t="s">
        <v>371</v>
      </c>
      <c r="J2594" s="5"/>
    </row>
    <row r="2595" spans="1:10" x14ac:dyDescent="0.25">
      <c r="A2595" s="39">
        <v>2594</v>
      </c>
      <c r="B2595" s="3" t="s">
        <v>3326</v>
      </c>
      <c r="C2595" s="75" t="s">
        <v>3327</v>
      </c>
      <c r="D2595" s="75" t="s">
        <v>1360</v>
      </c>
      <c r="E2595" s="75" t="str">
        <f>"০১৭৯৪২৭৭২৩৬"</f>
        <v>০১৭৯৪২৭৭২৩৬</v>
      </c>
      <c r="F2595" s="22" t="str">
        <f>"8119457713670"</f>
        <v>8119457713670</v>
      </c>
      <c r="G2595" s="75" t="str">
        <f>"১২৪০"</f>
        <v>১২৪০</v>
      </c>
      <c r="H2595" s="75" t="s">
        <v>371</v>
      </c>
      <c r="I2595" s="75" t="s">
        <v>371</v>
      </c>
      <c r="J2595" s="5"/>
    </row>
    <row r="2596" spans="1:10" x14ac:dyDescent="0.25">
      <c r="A2596" s="39">
        <v>2595</v>
      </c>
      <c r="B2596" s="3" t="s">
        <v>3328</v>
      </c>
      <c r="C2596" s="75" t="s">
        <v>3329</v>
      </c>
      <c r="D2596" s="75" t="s">
        <v>1360</v>
      </c>
      <c r="E2596" s="75" t="str">
        <f>"০১৭৩৫৮৫২০৫১"</f>
        <v>০১৭৩৫৮৫২০৫১</v>
      </c>
      <c r="F2596" s="22" t="str">
        <f>"8119457713914"</f>
        <v>8119457713914</v>
      </c>
      <c r="G2596" s="75" t="str">
        <f>"১২৩৯"</f>
        <v>১২৩৯</v>
      </c>
      <c r="H2596" s="75" t="s">
        <v>322</v>
      </c>
      <c r="I2596" s="75" t="s">
        <v>322</v>
      </c>
      <c r="J2596" s="5"/>
    </row>
    <row r="2597" spans="1:10" x14ac:dyDescent="0.25">
      <c r="A2597" s="39">
        <v>2596</v>
      </c>
      <c r="B2597" s="3" t="s">
        <v>3330</v>
      </c>
      <c r="C2597" s="75" t="s">
        <v>3331</v>
      </c>
      <c r="D2597" s="75" t="s">
        <v>1360</v>
      </c>
      <c r="E2597" s="75" t="str">
        <f>"০১৭৫২০৫১৯৪৯"</f>
        <v>০১৭৫২০৫১৯৪৯</v>
      </c>
      <c r="F2597" s="22" t="str">
        <f>"8119457713830"</f>
        <v>8119457713830</v>
      </c>
      <c r="G2597" s="75" t="str">
        <f>"১২৩৮"</f>
        <v>১২৩৮</v>
      </c>
      <c r="H2597" s="75" t="s">
        <v>371</v>
      </c>
      <c r="I2597" s="75" t="s">
        <v>371</v>
      </c>
      <c r="J2597" s="5"/>
    </row>
    <row r="2598" spans="1:10" x14ac:dyDescent="0.25">
      <c r="A2598" s="39">
        <v>2597</v>
      </c>
      <c r="B2598" s="3" t="s">
        <v>3332</v>
      </c>
      <c r="C2598" s="75" t="s">
        <v>1672</v>
      </c>
      <c r="D2598" s="75" t="s">
        <v>1360</v>
      </c>
      <c r="E2598" s="75" t="str">
        <f>"০১৭৪৪৪২৪৬৪৩"</f>
        <v>০১৭৪৪৪২৪৬৪৩</v>
      </c>
      <c r="F2598" s="22" t="str">
        <f>"8119457713016"</f>
        <v>8119457713016</v>
      </c>
      <c r="G2598" s="75" t="str">
        <f>"১২৩৭"</f>
        <v>১২৩৭</v>
      </c>
      <c r="H2598" s="75" t="s">
        <v>364</v>
      </c>
      <c r="I2598" s="75" t="s">
        <v>364</v>
      </c>
      <c r="J2598" s="5"/>
    </row>
    <row r="2599" spans="1:10" x14ac:dyDescent="0.25">
      <c r="A2599" s="39">
        <v>2598</v>
      </c>
      <c r="B2599" s="3" t="s">
        <v>3333</v>
      </c>
      <c r="C2599" s="75" t="s">
        <v>3334</v>
      </c>
      <c r="D2599" s="75" t="s">
        <v>1360</v>
      </c>
      <c r="E2599" s="75" t="str">
        <f>"০১৭৪২৯৪৬৭৯৫"</f>
        <v>০১৭৪২৯৪৬৭৯৫</v>
      </c>
      <c r="F2599" s="22" t="str">
        <f>"8119457713161"</f>
        <v>8119457713161</v>
      </c>
      <c r="G2599" s="75" t="str">
        <f>"১২৩৬"</f>
        <v>১২৩৬</v>
      </c>
      <c r="H2599" s="75" t="s">
        <v>371</v>
      </c>
      <c r="I2599" s="75" t="s">
        <v>371</v>
      </c>
      <c r="J2599" s="5"/>
    </row>
    <row r="2600" spans="1:10" x14ac:dyDescent="0.25">
      <c r="A2600" s="39">
        <v>2599</v>
      </c>
      <c r="B2600" s="3" t="s">
        <v>3335</v>
      </c>
      <c r="C2600" s="75" t="s">
        <v>1660</v>
      </c>
      <c r="D2600" s="75" t="s">
        <v>1360</v>
      </c>
      <c r="E2600" s="75" t="str">
        <f>"০১৭৪৫৯৩৪২৭৯"</f>
        <v>০১৭৪৫৯৩৪২৭৯</v>
      </c>
      <c r="F2600" s="22" t="str">
        <f>"8119457713673"</f>
        <v>8119457713673</v>
      </c>
      <c r="G2600" s="75" t="str">
        <f>"১২৩৫"</f>
        <v>১২৩৫</v>
      </c>
      <c r="H2600" s="75" t="s">
        <v>371</v>
      </c>
      <c r="I2600" s="75" t="s">
        <v>371</v>
      </c>
      <c r="J2600" s="5"/>
    </row>
    <row r="2601" spans="1:10" x14ac:dyDescent="0.25">
      <c r="A2601" s="39">
        <v>2600</v>
      </c>
      <c r="B2601" s="3" t="s">
        <v>3336</v>
      </c>
      <c r="C2601" s="75" t="s">
        <v>3337</v>
      </c>
      <c r="D2601" s="75" t="s">
        <v>1360</v>
      </c>
      <c r="E2601" s="75" t="str">
        <f>"০১৭৩২০৫৬০৫১"</f>
        <v>০১৭৩২০৫৬০৫১</v>
      </c>
      <c r="F2601" s="22" t="str">
        <f>"8119457713674"</f>
        <v>8119457713674</v>
      </c>
      <c r="G2601" s="75" t="str">
        <f>"১২৩৪"</f>
        <v>১২৩৪</v>
      </c>
      <c r="H2601" s="75" t="s">
        <v>371</v>
      </c>
      <c r="I2601" s="75" t="s">
        <v>371</v>
      </c>
      <c r="J2601" s="5"/>
    </row>
    <row r="2602" spans="1:10" x14ac:dyDescent="0.25">
      <c r="A2602" s="39">
        <v>2601</v>
      </c>
      <c r="B2602" s="3" t="s">
        <v>1559</v>
      </c>
      <c r="C2602" s="75" t="s">
        <v>3338</v>
      </c>
      <c r="D2602" s="75" t="s">
        <v>1360</v>
      </c>
      <c r="E2602" s="75" t="str">
        <f>"০১৭৩৮১৮৩৫২৬"</f>
        <v>০১৭৩৮১৮৩৫২৬</v>
      </c>
      <c r="F2602" s="22" t="str">
        <f>"8119457713511"</f>
        <v>8119457713511</v>
      </c>
      <c r="G2602" s="75" t="str">
        <f>"১২৩৩"</f>
        <v>১২৩৩</v>
      </c>
      <c r="H2602" s="75" t="s">
        <v>322</v>
      </c>
      <c r="I2602" s="75" t="s">
        <v>322</v>
      </c>
      <c r="J2602" s="5"/>
    </row>
    <row r="2603" spans="1:10" x14ac:dyDescent="0.25">
      <c r="A2603" s="39">
        <v>2602</v>
      </c>
      <c r="B2603" s="3" t="s">
        <v>3339</v>
      </c>
      <c r="C2603" s="75" t="s">
        <v>3340</v>
      </c>
      <c r="D2603" s="75" t="s">
        <v>1360</v>
      </c>
      <c r="E2603" s="75" t="str">
        <f>"০"</f>
        <v>০</v>
      </c>
      <c r="F2603" s="22" t="str">
        <f>"8119457713401"</f>
        <v>8119457713401</v>
      </c>
      <c r="G2603" s="75" t="str">
        <f>"১২৩২"</f>
        <v>১২৩২</v>
      </c>
      <c r="H2603" s="75" t="s">
        <v>371</v>
      </c>
      <c r="I2603" s="75" t="s">
        <v>371</v>
      </c>
      <c r="J2603" s="5"/>
    </row>
    <row r="2604" spans="1:10" x14ac:dyDescent="0.25">
      <c r="A2604" s="39">
        <v>2603</v>
      </c>
      <c r="B2604" s="3" t="s">
        <v>3341</v>
      </c>
      <c r="C2604" s="75" t="s">
        <v>3268</v>
      </c>
      <c r="D2604" s="75" t="s">
        <v>1360</v>
      </c>
      <c r="E2604" s="75" t="str">
        <f>"০১৭৬৬৩৮১৪৫২"</f>
        <v>০১৭৬৬৩৮১৪৫২</v>
      </c>
      <c r="F2604" s="22" t="str">
        <f>"8119457713823"</f>
        <v>8119457713823</v>
      </c>
      <c r="G2604" s="75" t="str">
        <f>"১২৩১"</f>
        <v>১২৩১</v>
      </c>
      <c r="H2604" s="75" t="s">
        <v>329</v>
      </c>
      <c r="I2604" s="75" t="s">
        <v>329</v>
      </c>
      <c r="J2604" s="5"/>
    </row>
    <row r="2605" spans="1:10" x14ac:dyDescent="0.25">
      <c r="A2605" s="39">
        <v>2604</v>
      </c>
      <c r="B2605" s="3" t="s">
        <v>1535</v>
      </c>
      <c r="C2605" s="75" t="s">
        <v>3342</v>
      </c>
      <c r="D2605" s="75" t="s">
        <v>1360</v>
      </c>
      <c r="E2605" s="75" t="str">
        <f>"০"</f>
        <v>০</v>
      </c>
      <c r="F2605" s="22" t="str">
        <f>"8119457713233"</f>
        <v>8119457713233</v>
      </c>
      <c r="G2605" s="75" t="str">
        <f>"১২৩০"</f>
        <v>১২৩০</v>
      </c>
      <c r="H2605" s="75" t="s">
        <v>371</v>
      </c>
      <c r="I2605" s="75" t="s">
        <v>371</v>
      </c>
      <c r="J2605" s="5"/>
    </row>
    <row r="2606" spans="1:10" x14ac:dyDescent="0.25">
      <c r="A2606" s="39">
        <v>2605</v>
      </c>
      <c r="B2606" s="3" t="s">
        <v>3343</v>
      </c>
      <c r="C2606" s="75" t="s">
        <v>1777</v>
      </c>
      <c r="D2606" s="75" t="s">
        <v>1360</v>
      </c>
      <c r="E2606" s="75" t="str">
        <f>"০১৭৩৭৫৫২০০০"</f>
        <v>০১৭৩৭৫৫২০০০</v>
      </c>
      <c r="F2606" s="22" t="str">
        <f>"8119457713801"</f>
        <v>8119457713801</v>
      </c>
      <c r="G2606" s="75" t="str">
        <f>"১২২৯"</f>
        <v>১২২৯</v>
      </c>
      <c r="H2606" s="75" t="s">
        <v>371</v>
      </c>
      <c r="I2606" s="75" t="s">
        <v>371</v>
      </c>
      <c r="J2606" s="5"/>
    </row>
    <row r="2607" spans="1:10" x14ac:dyDescent="0.25">
      <c r="A2607" s="39">
        <v>2606</v>
      </c>
      <c r="B2607" s="3" t="s">
        <v>3344</v>
      </c>
      <c r="C2607" s="75" t="s">
        <v>1777</v>
      </c>
      <c r="D2607" s="75" t="s">
        <v>1360</v>
      </c>
      <c r="E2607" s="75" t="str">
        <f>"০১৭৯৯৮১৯৯০"</f>
        <v>০১৭৯৯৮১৯৯০</v>
      </c>
      <c r="F2607" s="22" t="str">
        <f>"8119457713792"</f>
        <v>8119457713792</v>
      </c>
      <c r="G2607" s="75" t="str">
        <f>"১২২৮"</f>
        <v>১২২৮</v>
      </c>
      <c r="H2607" s="75" t="s">
        <v>371</v>
      </c>
      <c r="I2607" s="75" t="s">
        <v>371</v>
      </c>
      <c r="J2607" s="5"/>
    </row>
    <row r="2608" spans="1:10" x14ac:dyDescent="0.25">
      <c r="A2608" s="39">
        <v>2607</v>
      </c>
      <c r="B2608" s="3" t="s">
        <v>2886</v>
      </c>
      <c r="C2608" s="75" t="s">
        <v>3345</v>
      </c>
      <c r="D2608" s="75" t="s">
        <v>1360</v>
      </c>
      <c r="E2608" s="75" t="str">
        <f>"০"</f>
        <v>০</v>
      </c>
      <c r="F2608" s="22" t="str">
        <f>"8119457713697"</f>
        <v>8119457713697</v>
      </c>
      <c r="G2608" s="75" t="str">
        <f>"১২২৭"</f>
        <v>১২২৭</v>
      </c>
      <c r="H2608" s="75" t="s">
        <v>371</v>
      </c>
      <c r="I2608" s="75" t="s">
        <v>371</v>
      </c>
      <c r="J2608" s="5"/>
    </row>
    <row r="2609" spans="1:10" x14ac:dyDescent="0.25">
      <c r="A2609" s="39">
        <v>2608</v>
      </c>
      <c r="B2609" s="3" t="s">
        <v>2253</v>
      </c>
      <c r="C2609" s="75" t="s">
        <v>3346</v>
      </c>
      <c r="D2609" s="75" t="s">
        <v>1360</v>
      </c>
      <c r="E2609" s="75" t="str">
        <f>"০১৭৭৬৮৩২৯০৬"</f>
        <v>০১৭৭৬৮৩২৯০৬</v>
      </c>
      <c r="F2609" s="22" t="str">
        <f>"8119457713966"</f>
        <v>8119457713966</v>
      </c>
      <c r="G2609" s="75" t="str">
        <f>"১২২৬"</f>
        <v>১২২৬</v>
      </c>
      <c r="H2609" s="75" t="s">
        <v>322</v>
      </c>
      <c r="I2609" s="75" t="s">
        <v>322</v>
      </c>
      <c r="J2609" s="5"/>
    </row>
    <row r="2610" spans="1:10" x14ac:dyDescent="0.25">
      <c r="A2610" s="39">
        <v>2609</v>
      </c>
      <c r="B2610" s="3" t="s">
        <v>3347</v>
      </c>
      <c r="C2610" s="75" t="s">
        <v>3348</v>
      </c>
      <c r="D2610" s="75" t="s">
        <v>1360</v>
      </c>
      <c r="E2610" s="75" t="str">
        <f>"০১৭৫২২৫৬৮৮৮"</f>
        <v>০১৭৫২২৫৬৮৮৮</v>
      </c>
      <c r="F2610" s="22" t="str">
        <f>"8119457713682"</f>
        <v>8119457713682</v>
      </c>
      <c r="G2610" s="75" t="str">
        <f>"১২২৫"</f>
        <v>১২২৫</v>
      </c>
      <c r="H2610" s="75" t="s">
        <v>322</v>
      </c>
      <c r="I2610" s="75" t="s">
        <v>322</v>
      </c>
      <c r="J2610" s="5"/>
    </row>
    <row r="2611" spans="1:10" x14ac:dyDescent="0.25">
      <c r="A2611" s="39">
        <v>2610</v>
      </c>
      <c r="B2611" s="3" t="s">
        <v>3349</v>
      </c>
      <c r="C2611" s="75" t="s">
        <v>1634</v>
      </c>
      <c r="D2611" s="75" t="s">
        <v>1360</v>
      </c>
      <c r="E2611" s="75" t="str">
        <f>"০"</f>
        <v>০</v>
      </c>
      <c r="F2611" s="22" t="str">
        <f>"8119457713648"</f>
        <v>8119457713648</v>
      </c>
      <c r="G2611" s="75" t="str">
        <f>"১২২৪"</f>
        <v>১২২৪</v>
      </c>
      <c r="H2611" s="75" t="s">
        <v>371</v>
      </c>
      <c r="I2611" s="75" t="s">
        <v>371</v>
      </c>
      <c r="J2611" s="5"/>
    </row>
    <row r="2612" spans="1:10" x14ac:dyDescent="0.25">
      <c r="A2612" s="39">
        <v>2611</v>
      </c>
      <c r="B2612" s="3" t="s">
        <v>3350</v>
      </c>
      <c r="C2612" s="75" t="s">
        <v>3351</v>
      </c>
      <c r="D2612" s="75" t="s">
        <v>1360</v>
      </c>
      <c r="E2612" s="75" t="str">
        <f>"০"</f>
        <v>০</v>
      </c>
      <c r="F2612" s="22" t="str">
        <f>"8119457713555"</f>
        <v>8119457713555</v>
      </c>
      <c r="G2612" s="75" t="str">
        <f>"১২২৩"</f>
        <v>১২২৩</v>
      </c>
      <c r="H2612" s="75" t="s">
        <v>371</v>
      </c>
      <c r="I2612" s="75" t="s">
        <v>371</v>
      </c>
      <c r="J2612" s="5"/>
    </row>
    <row r="2613" spans="1:10" x14ac:dyDescent="0.25">
      <c r="A2613" s="39">
        <v>2612</v>
      </c>
      <c r="B2613" s="3" t="s">
        <v>3352</v>
      </c>
      <c r="C2613" s="75" t="s">
        <v>3353</v>
      </c>
      <c r="D2613" s="75" t="s">
        <v>1360</v>
      </c>
      <c r="E2613" s="75" t="str">
        <f>"০"</f>
        <v>০</v>
      </c>
      <c r="F2613" s="22" t="str">
        <f>"8119457713410"</f>
        <v>8119457713410</v>
      </c>
      <c r="G2613" s="75" t="str">
        <f>"১২২২"</f>
        <v>১২২২</v>
      </c>
      <c r="H2613" s="75" t="s">
        <v>371</v>
      </c>
      <c r="I2613" s="75" t="s">
        <v>371</v>
      </c>
      <c r="J2613" s="5"/>
    </row>
    <row r="2614" spans="1:10" x14ac:dyDescent="0.25">
      <c r="A2614" s="39">
        <v>2613</v>
      </c>
      <c r="B2614" s="3" t="s">
        <v>2895</v>
      </c>
      <c r="C2614" s="75" t="s">
        <v>1676</v>
      </c>
      <c r="D2614" s="75" t="s">
        <v>1360</v>
      </c>
      <c r="E2614" s="75" t="str">
        <f>"০"</f>
        <v>০</v>
      </c>
      <c r="F2614" s="22" t="str">
        <f>"8119457713818"</f>
        <v>8119457713818</v>
      </c>
      <c r="G2614" s="75" t="str">
        <f>"১২২১"</f>
        <v>১২২১</v>
      </c>
      <c r="H2614" s="75" t="s">
        <v>371</v>
      </c>
      <c r="I2614" s="75" t="s">
        <v>371</v>
      </c>
      <c r="J2614" s="5"/>
    </row>
    <row r="2615" spans="1:10" x14ac:dyDescent="0.25">
      <c r="A2615" s="39">
        <v>2614</v>
      </c>
      <c r="B2615" s="3" t="s">
        <v>3354</v>
      </c>
      <c r="C2615" s="75" t="s">
        <v>3355</v>
      </c>
      <c r="D2615" s="75" t="s">
        <v>1360</v>
      </c>
      <c r="E2615" s="75" t="str">
        <f>"০"</f>
        <v>০</v>
      </c>
      <c r="F2615" s="22" t="str">
        <f>"8119457713991"</f>
        <v>8119457713991</v>
      </c>
      <c r="G2615" s="75" t="str">
        <f>"১২২০"</f>
        <v>১২২০</v>
      </c>
      <c r="H2615" s="75" t="s">
        <v>371</v>
      </c>
      <c r="I2615" s="75" t="s">
        <v>371</v>
      </c>
      <c r="J2615" s="5"/>
    </row>
    <row r="2616" spans="1:10" x14ac:dyDescent="0.25">
      <c r="A2616" s="39">
        <v>2615</v>
      </c>
      <c r="B2616" s="3" t="s">
        <v>3356</v>
      </c>
      <c r="C2616" s="75" t="s">
        <v>3357</v>
      </c>
      <c r="D2616" s="75" t="s">
        <v>1360</v>
      </c>
      <c r="E2616" s="75" t="str">
        <f>"০১৭৫১৪৭৩৮১৪"</f>
        <v>০১৭৫১৪৭৩৮১৪</v>
      </c>
      <c r="F2616" s="22" t="str">
        <f>"8119457713813"</f>
        <v>8119457713813</v>
      </c>
      <c r="G2616" s="75" t="str">
        <f>"১২১৯"</f>
        <v>১২১৯</v>
      </c>
      <c r="H2616" s="75" t="s">
        <v>322</v>
      </c>
      <c r="I2616" s="75" t="s">
        <v>322</v>
      </c>
      <c r="J2616" s="5"/>
    </row>
    <row r="2617" spans="1:10" x14ac:dyDescent="0.25">
      <c r="A2617" s="39">
        <v>2616</v>
      </c>
      <c r="B2617" s="3" t="s">
        <v>1781</v>
      </c>
      <c r="C2617" s="75" t="s">
        <v>3167</v>
      </c>
      <c r="D2617" s="75" t="s">
        <v>1360</v>
      </c>
      <c r="E2617" s="75" t="str">
        <f>"০১৭৬৭০০৭০৭৮"</f>
        <v>০১৭৬৭০০৭০৭৮</v>
      </c>
      <c r="F2617" s="22" t="str">
        <f>"8119457713153"</f>
        <v>8119457713153</v>
      </c>
      <c r="G2617" s="75" t="str">
        <f>"১২১৮"</f>
        <v>১২১৮</v>
      </c>
      <c r="H2617" s="75" t="s">
        <v>371</v>
      </c>
      <c r="I2617" s="75" t="s">
        <v>371</v>
      </c>
      <c r="J2617" s="5"/>
    </row>
    <row r="2618" spans="1:10" x14ac:dyDescent="0.25">
      <c r="A2618" s="39">
        <v>2617</v>
      </c>
      <c r="B2618" s="3" t="s">
        <v>3358</v>
      </c>
      <c r="C2618" s="75" t="s">
        <v>3359</v>
      </c>
      <c r="D2618" s="75" t="s">
        <v>1360</v>
      </c>
      <c r="E2618" s="75" t="str">
        <f>"০১৭৮৩২৩৭৪৩০"</f>
        <v>০১৭৮৩২৩৭৪৩০</v>
      </c>
      <c r="F2618" s="22" t="str">
        <f>"8119457713092"</f>
        <v>8119457713092</v>
      </c>
      <c r="G2618" s="75" t="str">
        <f>"১২১৭"</f>
        <v>১২১৭</v>
      </c>
      <c r="H2618" s="75" t="s">
        <v>371</v>
      </c>
      <c r="I2618" s="75" t="s">
        <v>371</v>
      </c>
      <c r="J2618" s="5"/>
    </row>
    <row r="2619" spans="1:10" x14ac:dyDescent="0.25">
      <c r="A2619" s="39">
        <v>2618</v>
      </c>
      <c r="B2619" s="3" t="s">
        <v>3360</v>
      </c>
      <c r="C2619" s="75" t="s">
        <v>3361</v>
      </c>
      <c r="D2619" s="75" t="s">
        <v>1360</v>
      </c>
      <c r="E2619" s="75" t="str">
        <f>"০১৭৩৭৫২০০০"</f>
        <v>০১৭৩৭৫২০০০</v>
      </c>
      <c r="F2619" s="22" t="str">
        <f>"8119457713795"</f>
        <v>8119457713795</v>
      </c>
      <c r="G2619" s="75" t="str">
        <f>"১২১৬"</f>
        <v>১২১৬</v>
      </c>
      <c r="H2619" s="75" t="s">
        <v>371</v>
      </c>
      <c r="I2619" s="75" t="s">
        <v>371</v>
      </c>
      <c r="J2619" s="5"/>
    </row>
    <row r="2620" spans="1:10" x14ac:dyDescent="0.25">
      <c r="A2620" s="39">
        <v>2619</v>
      </c>
      <c r="B2620" s="3" t="s">
        <v>3362</v>
      </c>
      <c r="C2620" s="75" t="s">
        <v>3363</v>
      </c>
      <c r="D2620" s="75" t="s">
        <v>1360</v>
      </c>
      <c r="E2620" s="75" t="str">
        <f>"০১৭৩৫৬৩৭১৮৭"</f>
        <v>০১৭৩৫৬৩৭১৮৭</v>
      </c>
      <c r="F2620" s="22" t="str">
        <f>"8119457713441"</f>
        <v>8119457713441</v>
      </c>
      <c r="G2620" s="75" t="str">
        <f>"১২১৫"</f>
        <v>১২১৫</v>
      </c>
      <c r="H2620" s="75" t="s">
        <v>371</v>
      </c>
      <c r="I2620" s="75" t="s">
        <v>371</v>
      </c>
      <c r="J2620" s="5"/>
    </row>
    <row r="2621" spans="1:10" x14ac:dyDescent="0.25">
      <c r="A2621" s="39">
        <v>2620</v>
      </c>
      <c r="B2621" s="3" t="s">
        <v>1563</v>
      </c>
      <c r="C2621" s="75" t="s">
        <v>3364</v>
      </c>
      <c r="D2621" s="75" t="s">
        <v>1360</v>
      </c>
      <c r="E2621" s="75" t="str">
        <f>"০১৭৮৪৮৭৯৭৩২"</f>
        <v>০১৭৮৪৮৭৯৭৩২</v>
      </c>
      <c r="F2621" s="22" t="str">
        <f>"8119457713449"</f>
        <v>8119457713449</v>
      </c>
      <c r="G2621" s="75" t="str">
        <f>"১২১৪"</f>
        <v>১২১৪</v>
      </c>
      <c r="H2621" s="75" t="s">
        <v>371</v>
      </c>
      <c r="I2621" s="75" t="s">
        <v>371</v>
      </c>
      <c r="J2621" s="5"/>
    </row>
    <row r="2622" spans="1:10" x14ac:dyDescent="0.25">
      <c r="A2622" s="39">
        <v>2621</v>
      </c>
      <c r="B2622" s="3" t="s">
        <v>2906</v>
      </c>
      <c r="C2622" s="75" t="s">
        <v>3358</v>
      </c>
      <c r="D2622" s="75" t="s">
        <v>1360</v>
      </c>
      <c r="E2622" s="75" t="str">
        <f>"০১৮৬১৩২৪৪০"</f>
        <v>০১৮৬১৩২৪৪০</v>
      </c>
      <c r="F2622" s="22" t="str">
        <f>"8119457713560"</f>
        <v>8119457713560</v>
      </c>
      <c r="G2622" s="75" t="str">
        <f>"১২১৩"</f>
        <v>১২১৩</v>
      </c>
      <c r="H2622" s="75" t="s">
        <v>371</v>
      </c>
      <c r="I2622" s="75" t="s">
        <v>371</v>
      </c>
      <c r="J2622" s="5"/>
    </row>
    <row r="2623" spans="1:10" x14ac:dyDescent="0.25">
      <c r="A2623" s="39">
        <v>2622</v>
      </c>
      <c r="B2623" s="3" t="s">
        <v>3365</v>
      </c>
      <c r="C2623" s="75" t="s">
        <v>1696</v>
      </c>
      <c r="D2623" s="75" t="s">
        <v>1360</v>
      </c>
      <c r="E2623" s="75" t="str">
        <f>"০১৭৪৪৫০৫২৪৮"</f>
        <v>০১৭৪৪৫০৫২৪৮</v>
      </c>
      <c r="F2623" s="22" t="str">
        <f>"8119457713163"</f>
        <v>8119457713163</v>
      </c>
      <c r="G2623" s="75" t="str">
        <f>"১২১২"</f>
        <v>১২১২</v>
      </c>
      <c r="H2623" s="75" t="s">
        <v>322</v>
      </c>
      <c r="I2623" s="75" t="s">
        <v>322</v>
      </c>
      <c r="J2623" s="5"/>
    </row>
    <row r="2624" spans="1:10" x14ac:dyDescent="0.25">
      <c r="A2624" s="39">
        <v>2623</v>
      </c>
      <c r="B2624" s="3" t="s">
        <v>3366</v>
      </c>
      <c r="C2624" s="75" t="s">
        <v>3367</v>
      </c>
      <c r="D2624" s="75" t="s">
        <v>1360</v>
      </c>
      <c r="E2624" s="75" t="str">
        <f>"০"</f>
        <v>০</v>
      </c>
      <c r="F2624" s="22" t="str">
        <f>"8119457713527"</f>
        <v>8119457713527</v>
      </c>
      <c r="G2624" s="75" t="str">
        <f>"১২১১"</f>
        <v>১২১১</v>
      </c>
      <c r="H2624" s="75" t="s">
        <v>371</v>
      </c>
      <c r="I2624" s="75" t="s">
        <v>371</v>
      </c>
      <c r="J2624" s="5"/>
    </row>
    <row r="2625" spans="1:10" x14ac:dyDescent="0.25">
      <c r="A2625" s="39">
        <v>2624</v>
      </c>
      <c r="B2625" s="3" t="s">
        <v>2636</v>
      </c>
      <c r="C2625" s="75" t="s">
        <v>3368</v>
      </c>
      <c r="D2625" s="75" t="s">
        <v>1360</v>
      </c>
      <c r="E2625" s="75" t="str">
        <f>"০১৭৮০৫৬৭০২৯"</f>
        <v>০১৭৮০৫৬৭০২৯</v>
      </c>
      <c r="F2625" s="22" t="str">
        <f>"8119457713761"</f>
        <v>8119457713761</v>
      </c>
      <c r="G2625" s="75" t="str">
        <f>"১২১০"</f>
        <v>১২১০</v>
      </c>
      <c r="H2625" s="75" t="s">
        <v>329</v>
      </c>
      <c r="I2625" s="75" t="s">
        <v>329</v>
      </c>
      <c r="J2625" s="5"/>
    </row>
    <row r="2626" spans="1:10" x14ac:dyDescent="0.25">
      <c r="A2626" s="39">
        <v>2625</v>
      </c>
      <c r="B2626" s="3" t="s">
        <v>1823</v>
      </c>
      <c r="C2626" s="75" t="s">
        <v>3340</v>
      </c>
      <c r="D2626" s="75" t="s">
        <v>1360</v>
      </c>
      <c r="E2626" s="75" t="str">
        <f t="shared" ref="E2626:E2631" si="52">"০"</f>
        <v>০</v>
      </c>
      <c r="F2626" s="22" t="str">
        <f>"8119457713442"</f>
        <v>8119457713442</v>
      </c>
      <c r="G2626" s="75" t="str">
        <f>"১২০৯"</f>
        <v>১২০৯</v>
      </c>
      <c r="H2626" s="75" t="s">
        <v>319</v>
      </c>
      <c r="I2626" s="75" t="s">
        <v>319</v>
      </c>
      <c r="J2626" s="5"/>
    </row>
    <row r="2627" spans="1:10" x14ac:dyDescent="0.25">
      <c r="A2627" s="39">
        <v>2626</v>
      </c>
      <c r="B2627" s="3" t="s">
        <v>3369</v>
      </c>
      <c r="C2627" s="75" t="s">
        <v>1547</v>
      </c>
      <c r="D2627" s="75" t="s">
        <v>1360</v>
      </c>
      <c r="E2627" s="75" t="str">
        <f t="shared" si="52"/>
        <v>০</v>
      </c>
      <c r="F2627" s="22" t="str">
        <f>"8119457713838"</f>
        <v>8119457713838</v>
      </c>
      <c r="G2627" s="75" t="str">
        <f>"১২০৮"</f>
        <v>১২০৮</v>
      </c>
      <c r="H2627" s="75" t="s">
        <v>319</v>
      </c>
      <c r="I2627" s="75" t="s">
        <v>319</v>
      </c>
      <c r="J2627" s="5"/>
    </row>
    <row r="2628" spans="1:10" x14ac:dyDescent="0.25">
      <c r="A2628" s="39">
        <v>2627</v>
      </c>
      <c r="B2628" s="3" t="s">
        <v>3336</v>
      </c>
      <c r="C2628" s="75" t="s">
        <v>1547</v>
      </c>
      <c r="D2628" s="75" t="s">
        <v>1360</v>
      </c>
      <c r="E2628" s="75" t="str">
        <f t="shared" si="52"/>
        <v>০</v>
      </c>
      <c r="F2628" s="22" t="str">
        <f>"8119457713586"</f>
        <v>8119457713586</v>
      </c>
      <c r="G2628" s="75" t="str">
        <f>"১২০৭"</f>
        <v>১২০৭</v>
      </c>
      <c r="H2628" s="75" t="s">
        <v>319</v>
      </c>
      <c r="I2628" s="75" t="s">
        <v>319</v>
      </c>
      <c r="J2628" s="5"/>
    </row>
    <row r="2629" spans="1:10" x14ac:dyDescent="0.25">
      <c r="A2629" s="39">
        <v>2628</v>
      </c>
      <c r="B2629" s="3" t="s">
        <v>1605</v>
      </c>
      <c r="C2629" s="75" t="s">
        <v>1578</v>
      </c>
      <c r="D2629" s="75" t="s">
        <v>1360</v>
      </c>
      <c r="E2629" s="75" t="str">
        <f t="shared" si="52"/>
        <v>০</v>
      </c>
      <c r="F2629" s="22" t="str">
        <f>"8119457713728"</f>
        <v>8119457713728</v>
      </c>
      <c r="G2629" s="75" t="str">
        <f>"১২০৬"</f>
        <v>১২০৬</v>
      </c>
      <c r="H2629" s="75" t="s">
        <v>322</v>
      </c>
      <c r="I2629" s="75" t="s">
        <v>322</v>
      </c>
      <c r="J2629" s="5"/>
    </row>
    <row r="2630" spans="1:10" x14ac:dyDescent="0.25">
      <c r="A2630" s="39">
        <v>2629</v>
      </c>
      <c r="B2630" s="3" t="s">
        <v>1713</v>
      </c>
      <c r="C2630" s="75" t="s">
        <v>3370</v>
      </c>
      <c r="D2630" s="75" t="s">
        <v>1360</v>
      </c>
      <c r="E2630" s="75" t="str">
        <f t="shared" si="52"/>
        <v>০</v>
      </c>
      <c r="F2630" s="22" t="str">
        <f>"8119457713625"</f>
        <v>8119457713625</v>
      </c>
      <c r="G2630" s="75" t="str">
        <f>"১২০৫"</f>
        <v>১২০৫</v>
      </c>
      <c r="H2630" s="75" t="s">
        <v>371</v>
      </c>
      <c r="I2630" s="75" t="s">
        <v>371</v>
      </c>
      <c r="J2630" s="5"/>
    </row>
    <row r="2631" spans="1:10" x14ac:dyDescent="0.25">
      <c r="A2631" s="39">
        <v>2630</v>
      </c>
      <c r="B2631" s="3" t="s">
        <v>2235</v>
      </c>
      <c r="C2631" s="75" t="s">
        <v>3371</v>
      </c>
      <c r="D2631" s="75" t="s">
        <v>1360</v>
      </c>
      <c r="E2631" s="75" t="str">
        <f t="shared" si="52"/>
        <v>০</v>
      </c>
      <c r="F2631" s="22" t="str">
        <f>"8119457713844"</f>
        <v>8119457713844</v>
      </c>
      <c r="G2631" s="75" t="str">
        <f>"১২০৪"</f>
        <v>১২০৪</v>
      </c>
      <c r="H2631" s="75" t="s">
        <v>319</v>
      </c>
      <c r="I2631" s="75" t="s">
        <v>319</v>
      </c>
      <c r="J2631" s="5"/>
    </row>
    <row r="2632" spans="1:10" x14ac:dyDescent="0.25">
      <c r="A2632" s="39">
        <v>2631</v>
      </c>
      <c r="B2632" s="3" t="s">
        <v>3372</v>
      </c>
      <c r="C2632" s="75" t="s">
        <v>3373</v>
      </c>
      <c r="D2632" s="75" t="s">
        <v>1360</v>
      </c>
      <c r="E2632" s="75" t="str">
        <f>"০১৭৩০৯০২৮৯৭"</f>
        <v>০১৭৩০৯০২৮৯৭</v>
      </c>
      <c r="F2632" s="22" t="str">
        <f>"8119457713120"</f>
        <v>8119457713120</v>
      </c>
      <c r="G2632" s="75" t="str">
        <f>"১২০৩"</f>
        <v>১২০৩</v>
      </c>
      <c r="H2632" s="75" t="s">
        <v>322</v>
      </c>
      <c r="I2632" s="75" t="s">
        <v>322</v>
      </c>
      <c r="J2632" s="5"/>
    </row>
    <row r="2633" spans="1:10" x14ac:dyDescent="0.25">
      <c r="A2633" s="39">
        <v>2632</v>
      </c>
      <c r="B2633" s="3" t="s">
        <v>3374</v>
      </c>
      <c r="C2633" s="75" t="s">
        <v>3372</v>
      </c>
      <c r="D2633" s="75" t="s">
        <v>1360</v>
      </c>
      <c r="E2633" s="75" t="str">
        <f>"০১৭৩৭৬৬৫৭৩১"</f>
        <v>০১৭৩৭৬৬৫৭৩১</v>
      </c>
      <c r="F2633" s="22" t="str">
        <f>"8119457713128"</f>
        <v>8119457713128</v>
      </c>
      <c r="G2633" s="75" t="str">
        <f>"১২০২"</f>
        <v>১২০২</v>
      </c>
      <c r="H2633" s="75" t="s">
        <v>319</v>
      </c>
      <c r="I2633" s="75" t="s">
        <v>319</v>
      </c>
      <c r="J2633" s="5"/>
    </row>
    <row r="2634" spans="1:10" x14ac:dyDescent="0.25">
      <c r="A2634" s="39">
        <v>2633</v>
      </c>
      <c r="B2634" s="3" t="s">
        <v>3375</v>
      </c>
      <c r="C2634" s="75" t="s">
        <v>3376</v>
      </c>
      <c r="D2634" s="75" t="s">
        <v>1360</v>
      </c>
      <c r="E2634" s="75" t="str">
        <f>"০১৭৩৬০১৫৩৮০"</f>
        <v>০১৭৩৬০১৫৩৮০</v>
      </c>
      <c r="F2634" s="22" t="str">
        <f>"8119457713652"</f>
        <v>8119457713652</v>
      </c>
      <c r="G2634" s="75" t="str">
        <f>"১২০১"</f>
        <v>১২০১</v>
      </c>
      <c r="H2634" s="75" t="s">
        <v>319</v>
      </c>
      <c r="I2634" s="75" t="s">
        <v>319</v>
      </c>
      <c r="J2634" s="5"/>
    </row>
    <row r="2635" spans="1:10" x14ac:dyDescent="0.25">
      <c r="A2635" s="39">
        <v>2634</v>
      </c>
      <c r="B2635" s="3" t="s">
        <v>3377</v>
      </c>
      <c r="C2635" s="75" t="s">
        <v>3378</v>
      </c>
      <c r="D2635" s="75" t="s">
        <v>1384</v>
      </c>
      <c r="E2635" s="75" t="str">
        <f>"০"</f>
        <v>০</v>
      </c>
      <c r="F2635" s="22" t="str">
        <f>"8119457830913"</f>
        <v>8119457830913</v>
      </c>
      <c r="G2635" s="75" t="str">
        <f>"১১৬৩"</f>
        <v>১১৬৩</v>
      </c>
      <c r="H2635" s="75" t="s">
        <v>322</v>
      </c>
      <c r="I2635" s="75" t="s">
        <v>322</v>
      </c>
      <c r="J2635" s="5"/>
    </row>
    <row r="2636" spans="1:10" x14ac:dyDescent="0.25">
      <c r="A2636" s="39">
        <v>2635</v>
      </c>
      <c r="B2636" s="3" t="s">
        <v>3379</v>
      </c>
      <c r="C2636" s="75" t="s">
        <v>3380</v>
      </c>
      <c r="D2636" s="75" t="s">
        <v>1384</v>
      </c>
      <c r="E2636" s="75" t="str">
        <f>"০"</f>
        <v>০</v>
      </c>
      <c r="F2636" s="22" t="str">
        <f>"8119457830975"</f>
        <v>8119457830975</v>
      </c>
      <c r="G2636" s="75" t="str">
        <f>"১১৬২"</f>
        <v>১১৬২</v>
      </c>
      <c r="H2636" s="75" t="s">
        <v>371</v>
      </c>
      <c r="I2636" s="75" t="s">
        <v>371</v>
      </c>
      <c r="J2636" s="5"/>
    </row>
    <row r="2637" spans="1:10" x14ac:dyDescent="0.25">
      <c r="A2637" s="39">
        <v>2636</v>
      </c>
      <c r="B2637" s="3" t="s">
        <v>2498</v>
      </c>
      <c r="C2637" s="75" t="s">
        <v>3381</v>
      </c>
      <c r="D2637" s="75" t="s">
        <v>1384</v>
      </c>
      <c r="E2637" s="75" t="str">
        <f>"০"</f>
        <v>০</v>
      </c>
      <c r="F2637" s="22" t="str">
        <f>"8119457830967"</f>
        <v>8119457830967</v>
      </c>
      <c r="G2637" s="75" t="str">
        <f>"১১৬১"</f>
        <v>১১৬১</v>
      </c>
      <c r="H2637" s="75" t="s">
        <v>371</v>
      </c>
      <c r="I2637" s="75" t="s">
        <v>371</v>
      </c>
      <c r="J2637" s="5"/>
    </row>
    <row r="2638" spans="1:10" x14ac:dyDescent="0.25">
      <c r="A2638" s="39">
        <v>2637</v>
      </c>
      <c r="B2638" s="3" t="s">
        <v>1611</v>
      </c>
      <c r="C2638" s="75" t="s">
        <v>2265</v>
      </c>
      <c r="D2638" s="75" t="s">
        <v>1384</v>
      </c>
      <c r="E2638" s="75" t="str">
        <f>"০১৭৫৫১৭৯২৪৪"</f>
        <v>০১৭৫৫১৭৯২৪৪</v>
      </c>
      <c r="F2638" s="22" t="str">
        <f>"8119457830846"</f>
        <v>8119457830846</v>
      </c>
      <c r="G2638" s="75" t="str">
        <f>"১১৬০"</f>
        <v>১১৬০</v>
      </c>
      <c r="H2638" s="75" t="s">
        <v>315</v>
      </c>
      <c r="I2638" s="75" t="s">
        <v>315</v>
      </c>
      <c r="J2638" s="5"/>
    </row>
    <row r="2639" spans="1:10" x14ac:dyDescent="0.25">
      <c r="A2639" s="39">
        <v>2638</v>
      </c>
      <c r="B2639" s="3" t="s">
        <v>3382</v>
      </c>
      <c r="C2639" s="75" t="s">
        <v>3383</v>
      </c>
      <c r="D2639" s="75" t="s">
        <v>1384</v>
      </c>
      <c r="E2639" s="75" t="str">
        <f>"০১৭৩৮৩০৭২৭৮"</f>
        <v>০১৭৩৮৩০৭২৭৮</v>
      </c>
      <c r="F2639" s="22" t="str">
        <f>"8119457830881"</f>
        <v>8119457830881</v>
      </c>
      <c r="G2639" s="75" t="str">
        <f>"১১৫৯"</f>
        <v>১১৫৯</v>
      </c>
      <c r="H2639" s="75" t="s">
        <v>319</v>
      </c>
      <c r="I2639" s="75" t="s">
        <v>319</v>
      </c>
      <c r="J2639" s="5"/>
    </row>
    <row r="2640" spans="1:10" x14ac:dyDescent="0.25">
      <c r="A2640" s="39">
        <v>2639</v>
      </c>
      <c r="B2640" s="3" t="s">
        <v>3384</v>
      </c>
      <c r="C2640" s="75" t="s">
        <v>3385</v>
      </c>
      <c r="D2640" s="75" t="s">
        <v>1384</v>
      </c>
      <c r="E2640" s="75" t="str">
        <f>"০১৭৬৪৬৩৫৬৮৫"</f>
        <v>০১৭৬৪৬৩৫৬৮৫</v>
      </c>
      <c r="F2640" s="22" t="str">
        <f>"8119457830952"</f>
        <v>8119457830952</v>
      </c>
      <c r="G2640" s="75" t="str">
        <f>"১১৫৮"</f>
        <v>১১৫৮</v>
      </c>
      <c r="H2640" s="75" t="s">
        <v>319</v>
      </c>
      <c r="I2640" s="75" t="s">
        <v>319</v>
      </c>
      <c r="J2640" s="5"/>
    </row>
    <row r="2641" spans="1:10" x14ac:dyDescent="0.25">
      <c r="A2641" s="39">
        <v>2640</v>
      </c>
      <c r="B2641" s="3" t="s">
        <v>3386</v>
      </c>
      <c r="C2641" s="75" t="s">
        <v>3387</v>
      </c>
      <c r="D2641" s="75" t="s">
        <v>1384</v>
      </c>
      <c r="E2641" s="75" t="str">
        <f>"০১৭০৫৯২০০৬৬"</f>
        <v>০১৭০৫৯২০০৬৬</v>
      </c>
      <c r="F2641" s="22" t="str">
        <f>"8119457832099"</f>
        <v>8119457832099</v>
      </c>
      <c r="G2641" s="75" t="str">
        <f>"১১৫৭"</f>
        <v>১১৫৭</v>
      </c>
      <c r="H2641" s="75" t="s">
        <v>371</v>
      </c>
      <c r="I2641" s="75" t="s">
        <v>371</v>
      </c>
      <c r="J2641" s="5"/>
    </row>
    <row r="2642" spans="1:10" x14ac:dyDescent="0.25">
      <c r="A2642" s="39">
        <v>2641</v>
      </c>
      <c r="B2642" s="3" t="s">
        <v>3388</v>
      </c>
      <c r="C2642" s="75" t="s">
        <v>3380</v>
      </c>
      <c r="D2642" s="75" t="s">
        <v>1384</v>
      </c>
      <c r="E2642" s="75" t="str">
        <f>"০১৭২৪৮৩৯৮৯৬"</f>
        <v>০১৭২৪৮৩৯৮৯৬</v>
      </c>
      <c r="F2642" s="22" t="str">
        <f>"8119457830975"</f>
        <v>8119457830975</v>
      </c>
      <c r="G2642" s="75" t="str">
        <f>"১১৫৬"</f>
        <v>১১৫৬</v>
      </c>
      <c r="H2642" s="75" t="s">
        <v>329</v>
      </c>
      <c r="I2642" s="75" t="s">
        <v>329</v>
      </c>
      <c r="J2642" s="5"/>
    </row>
    <row r="2643" spans="1:10" x14ac:dyDescent="0.25">
      <c r="A2643" s="39">
        <v>2642</v>
      </c>
      <c r="B2643" s="3" t="s">
        <v>3389</v>
      </c>
      <c r="C2643" s="75" t="s">
        <v>3390</v>
      </c>
      <c r="D2643" s="75" t="s">
        <v>1384</v>
      </c>
      <c r="E2643" s="75" t="str">
        <f>"০১৭১৬৮২৪৬০১"</f>
        <v>০১৭১৬৮২৪৬০১</v>
      </c>
      <c r="F2643" s="22" t="str">
        <f>"8119457830906"</f>
        <v>8119457830906</v>
      </c>
      <c r="G2643" s="75" t="str">
        <f>"১১৫৫"</f>
        <v>১১৫৫</v>
      </c>
      <c r="H2643" s="75" t="s">
        <v>322</v>
      </c>
      <c r="I2643" s="75" t="s">
        <v>322</v>
      </c>
      <c r="J2643" s="5"/>
    </row>
    <row r="2644" spans="1:10" x14ac:dyDescent="0.25">
      <c r="A2644" s="39">
        <v>2643</v>
      </c>
      <c r="B2644" s="3" t="s">
        <v>2802</v>
      </c>
      <c r="C2644" s="75" t="s">
        <v>3391</v>
      </c>
      <c r="D2644" s="75" t="s">
        <v>1384</v>
      </c>
      <c r="E2644" s="75" t="str">
        <f>"০১৭৩৩১৮৯৬০৭"</f>
        <v>০১৭৩৩১৮৯৬০৭</v>
      </c>
      <c r="F2644" s="22" t="str">
        <f>"8119457832040"</f>
        <v>8119457832040</v>
      </c>
      <c r="G2644" s="75" t="str">
        <f>"১১৫৪"</f>
        <v>১১৫৪</v>
      </c>
      <c r="H2644" s="75" t="s">
        <v>319</v>
      </c>
      <c r="I2644" s="75" t="s">
        <v>319</v>
      </c>
      <c r="J2644" s="5"/>
    </row>
    <row r="2645" spans="1:10" x14ac:dyDescent="0.25">
      <c r="A2645" s="39">
        <v>2644</v>
      </c>
      <c r="B2645" s="3" t="s">
        <v>3392</v>
      </c>
      <c r="C2645" s="75" t="s">
        <v>3393</v>
      </c>
      <c r="D2645" s="75" t="s">
        <v>1384</v>
      </c>
      <c r="E2645" s="75" t="str">
        <f>"০১৭২৬৭৬২০৮০"</f>
        <v>০১৭২৬৭৬২০৮০</v>
      </c>
      <c r="F2645" s="22" t="str">
        <f>"8119457830872"</f>
        <v>8119457830872</v>
      </c>
      <c r="G2645" s="75" t="str">
        <f>"১১৫৩"</f>
        <v>১১৫৩</v>
      </c>
      <c r="H2645" s="75" t="s">
        <v>330</v>
      </c>
      <c r="I2645" s="75" t="s">
        <v>330</v>
      </c>
      <c r="J2645" s="5"/>
    </row>
    <row r="2646" spans="1:10" x14ac:dyDescent="0.25">
      <c r="A2646" s="39">
        <v>2645</v>
      </c>
      <c r="B2646" s="3" t="s">
        <v>3394</v>
      </c>
      <c r="C2646" s="75" t="s">
        <v>3395</v>
      </c>
      <c r="D2646" s="75" t="s">
        <v>1351</v>
      </c>
      <c r="E2646" s="75" t="str">
        <f>"০৭১৪৪৮৯৬৫৩৮"</f>
        <v>০৭১৪৪৮৯৬৫৩৮</v>
      </c>
      <c r="F2646" s="22" t="str">
        <f>"8119457830656"</f>
        <v>8119457830656</v>
      </c>
      <c r="G2646" s="75" t="str">
        <f>"১০১৮"</f>
        <v>১০১৮</v>
      </c>
      <c r="H2646" s="75" t="s">
        <v>329</v>
      </c>
      <c r="I2646" s="75" t="s">
        <v>329</v>
      </c>
      <c r="J2646" s="5"/>
    </row>
    <row r="2647" spans="1:10" x14ac:dyDescent="0.25">
      <c r="A2647" s="39">
        <v>2646</v>
      </c>
      <c r="B2647" s="3" t="s">
        <v>3396</v>
      </c>
      <c r="C2647" s="75" t="s">
        <v>3395</v>
      </c>
      <c r="D2647" s="75" t="s">
        <v>1351</v>
      </c>
      <c r="E2647" s="75" t="str">
        <f>"০১৭৩৯১০৩৯১৭"</f>
        <v>০১৭৩৯১০৩৯১৭</v>
      </c>
      <c r="F2647" s="22" t="str">
        <f>"8119457830654"</f>
        <v>8119457830654</v>
      </c>
      <c r="G2647" s="75" t="str">
        <f>"১০১৭"</f>
        <v>১০১৭</v>
      </c>
      <c r="H2647" s="75" t="s">
        <v>322</v>
      </c>
      <c r="I2647" s="75" t="s">
        <v>322</v>
      </c>
      <c r="J2647" s="5"/>
    </row>
    <row r="2648" spans="1:10" x14ac:dyDescent="0.25">
      <c r="A2648" s="39">
        <v>2647</v>
      </c>
      <c r="B2648" s="3" t="s">
        <v>3397</v>
      </c>
      <c r="C2648" s="75" t="s">
        <v>3398</v>
      </c>
      <c r="D2648" s="75" t="s">
        <v>1351</v>
      </c>
      <c r="E2648" s="75" t="str">
        <f>"০"</f>
        <v>০</v>
      </c>
      <c r="F2648" s="22" t="str">
        <f>"8119457830563"</f>
        <v>8119457830563</v>
      </c>
      <c r="G2648" s="75" t="str">
        <f>"১০১৬"</f>
        <v>১০১৬</v>
      </c>
      <c r="H2648" s="75" t="s">
        <v>319</v>
      </c>
      <c r="I2648" s="75" t="s">
        <v>319</v>
      </c>
      <c r="J2648" s="5"/>
    </row>
    <row r="2649" spans="1:10" x14ac:dyDescent="0.25">
      <c r="A2649" s="39">
        <v>2648</v>
      </c>
      <c r="B2649" s="3" t="s">
        <v>3399</v>
      </c>
      <c r="C2649" s="75" t="s">
        <v>3400</v>
      </c>
      <c r="D2649" s="75" t="s">
        <v>1351</v>
      </c>
      <c r="E2649" s="75" t="str">
        <f>"০১৭৫৮১৬৭১২৫"</f>
        <v>০১৭৫৮১৬৭১২৫</v>
      </c>
      <c r="F2649" s="22" t="str">
        <f>"819457027386"</f>
        <v>819457027386</v>
      </c>
      <c r="G2649" s="75" t="str">
        <f>"১০১৫"</f>
        <v>১০১৫</v>
      </c>
      <c r="H2649" s="75" t="s">
        <v>456</v>
      </c>
      <c r="I2649" s="75" t="s">
        <v>456</v>
      </c>
      <c r="J2649" s="5"/>
    </row>
    <row r="2650" spans="1:10" x14ac:dyDescent="0.25">
      <c r="A2650" s="39">
        <v>2649</v>
      </c>
      <c r="B2650" s="3" t="s">
        <v>3401</v>
      </c>
      <c r="C2650" s="75" t="s">
        <v>3402</v>
      </c>
      <c r="D2650" s="75" t="s">
        <v>1351</v>
      </c>
      <c r="E2650" s="75" t="str">
        <f>"০"</f>
        <v>০</v>
      </c>
      <c r="F2650" s="22" t="str">
        <f>"8119457830775"</f>
        <v>8119457830775</v>
      </c>
      <c r="G2650" s="75" t="str">
        <f>"১০১৪"</f>
        <v>১০১৪</v>
      </c>
      <c r="H2650" s="75" t="s">
        <v>1394</v>
      </c>
      <c r="I2650" s="75" t="s">
        <v>1394</v>
      </c>
      <c r="J2650" s="5"/>
    </row>
    <row r="2651" spans="1:10" x14ac:dyDescent="0.25">
      <c r="A2651" s="39">
        <v>2650</v>
      </c>
      <c r="B2651" s="3" t="s">
        <v>3403</v>
      </c>
      <c r="C2651" s="75" t="s">
        <v>3404</v>
      </c>
      <c r="D2651" s="75" t="s">
        <v>1351</v>
      </c>
      <c r="E2651" s="75" t="str">
        <f>"০"</f>
        <v>০</v>
      </c>
      <c r="F2651" s="22" t="str">
        <f>"8119457830663"</f>
        <v>8119457830663</v>
      </c>
      <c r="G2651" s="75" t="str">
        <f>"১০১৩"</f>
        <v>১০১৩</v>
      </c>
      <c r="H2651" s="75" t="s">
        <v>319</v>
      </c>
      <c r="I2651" s="75" t="s">
        <v>319</v>
      </c>
      <c r="J2651" s="5"/>
    </row>
    <row r="2652" spans="1:10" x14ac:dyDescent="0.25">
      <c r="A2652" s="39">
        <v>2651</v>
      </c>
      <c r="B2652" s="3" t="s">
        <v>3405</v>
      </c>
      <c r="C2652" s="75" t="s">
        <v>3406</v>
      </c>
      <c r="D2652" s="75" t="s">
        <v>1351</v>
      </c>
      <c r="E2652" s="75" t="str">
        <f>"০১৭৪৬০৫২৯৯৪"</f>
        <v>০১৭৪৬০৫২৯৯৪</v>
      </c>
      <c r="F2652" s="22" t="str">
        <f>"8119457830641"</f>
        <v>8119457830641</v>
      </c>
      <c r="G2652" s="75" t="str">
        <f>"১০১২"</f>
        <v>১০১২</v>
      </c>
      <c r="H2652" s="75" t="s">
        <v>456</v>
      </c>
      <c r="I2652" s="75" t="s">
        <v>456</v>
      </c>
      <c r="J2652" s="5"/>
    </row>
    <row r="2653" spans="1:10" x14ac:dyDescent="0.25">
      <c r="A2653" s="39">
        <v>2652</v>
      </c>
      <c r="B2653" s="3" t="s">
        <v>3407</v>
      </c>
      <c r="C2653" s="75" t="s">
        <v>3408</v>
      </c>
      <c r="D2653" s="75" t="s">
        <v>1351</v>
      </c>
      <c r="E2653" s="75" t="str">
        <f>"০১৭২৫০৮৩৬১৪"</f>
        <v>০১৭২৫০৮৩৬১৪</v>
      </c>
      <c r="F2653" s="22" t="str">
        <f>"8119457830781"</f>
        <v>8119457830781</v>
      </c>
      <c r="G2653" s="75" t="str">
        <f>"১০১১"</f>
        <v>১০১১</v>
      </c>
      <c r="H2653" s="75" t="s">
        <v>330</v>
      </c>
      <c r="I2653" s="75" t="s">
        <v>330</v>
      </c>
      <c r="J2653" s="5"/>
    </row>
    <row r="2654" spans="1:10" x14ac:dyDescent="0.25">
      <c r="A2654" s="39">
        <v>2653</v>
      </c>
      <c r="B2654" s="3" t="s">
        <v>3409</v>
      </c>
      <c r="C2654" s="75" t="s">
        <v>3410</v>
      </c>
      <c r="D2654" s="75" t="s">
        <v>1351</v>
      </c>
      <c r="E2654" s="75" t="str">
        <f>"০১৭৪৯৩১৭৫১২"</f>
        <v>০১৭৪৯৩১৭৫১২</v>
      </c>
      <c r="F2654" s="22" t="str">
        <f>"8119457830678"</f>
        <v>8119457830678</v>
      </c>
      <c r="G2654" s="75" t="str">
        <f>"১০১০"</f>
        <v>১০১০</v>
      </c>
      <c r="H2654" s="75" t="s">
        <v>319</v>
      </c>
      <c r="I2654" s="75" t="s">
        <v>319</v>
      </c>
      <c r="J2654" s="5"/>
    </row>
    <row r="2655" spans="1:10" x14ac:dyDescent="0.25">
      <c r="A2655" s="39">
        <v>2654</v>
      </c>
      <c r="B2655" s="3" t="s">
        <v>3411</v>
      </c>
      <c r="C2655" s="75" t="s">
        <v>3412</v>
      </c>
      <c r="D2655" s="75" t="s">
        <v>1351</v>
      </c>
      <c r="E2655" s="75" t="str">
        <f>"০১৭৩৮১৫৯৪৬৭"</f>
        <v>০১৭৩৮১৫৯৪৬৭</v>
      </c>
      <c r="F2655" s="22" t="str">
        <f>"8119457830592"</f>
        <v>8119457830592</v>
      </c>
      <c r="G2655" s="75" t="str">
        <f>"১০০৯"</f>
        <v>১০০৯</v>
      </c>
      <c r="H2655" s="75" t="s">
        <v>322</v>
      </c>
      <c r="I2655" s="75" t="s">
        <v>322</v>
      </c>
      <c r="J2655" s="5"/>
    </row>
    <row r="2656" spans="1:10" x14ac:dyDescent="0.25">
      <c r="A2656" s="39">
        <v>2655</v>
      </c>
      <c r="B2656" s="3" t="s">
        <v>1957</v>
      </c>
      <c r="C2656" s="75" t="s">
        <v>3413</v>
      </c>
      <c r="D2656" s="75" t="s">
        <v>1475</v>
      </c>
      <c r="E2656" s="75" t="str">
        <f>"০"</f>
        <v>০</v>
      </c>
      <c r="F2656" s="22" t="str">
        <f>"8119457830054"</f>
        <v>8119457830054</v>
      </c>
      <c r="G2656" s="75" t="str">
        <f>"০৮৯৫"</f>
        <v>০৮৯৫</v>
      </c>
      <c r="H2656" s="75" t="s">
        <v>364</v>
      </c>
      <c r="I2656" s="75" t="s">
        <v>364</v>
      </c>
      <c r="J2656" s="5"/>
    </row>
    <row r="2657" spans="1:10" x14ac:dyDescent="0.25">
      <c r="A2657" s="39">
        <v>2656</v>
      </c>
      <c r="B2657" s="3" t="s">
        <v>1784</v>
      </c>
      <c r="C2657" s="75" t="s">
        <v>1785</v>
      </c>
      <c r="D2657" s="75" t="s">
        <v>1475</v>
      </c>
      <c r="E2657" s="75" t="str">
        <f>"০"</f>
        <v>০</v>
      </c>
      <c r="F2657" s="22" t="str">
        <f>"8119457830407"</f>
        <v>8119457830407</v>
      </c>
      <c r="G2657" s="75" t="str">
        <f>"০৮৯৪"</f>
        <v>০৮৯৪</v>
      </c>
      <c r="H2657" s="75" t="s">
        <v>319</v>
      </c>
      <c r="I2657" s="75" t="s">
        <v>319</v>
      </c>
      <c r="J2657" s="5"/>
    </row>
    <row r="2658" spans="1:10" x14ac:dyDescent="0.25">
      <c r="A2658" s="39">
        <v>2657</v>
      </c>
      <c r="B2658" s="3" t="s">
        <v>1630</v>
      </c>
      <c r="C2658" s="75" t="s">
        <v>3414</v>
      </c>
      <c r="D2658" s="75" t="s">
        <v>1475</v>
      </c>
      <c r="E2658" s="75" t="str">
        <f>"০১৭১৫২৩৪৪২৭"</f>
        <v>০১৭১৫২৩৪৪২৭</v>
      </c>
      <c r="F2658" s="22" t="str">
        <f>"8119457811945"</f>
        <v>8119457811945</v>
      </c>
      <c r="G2658" s="75" t="str">
        <f>"০৮৯৩"</f>
        <v>০৮৯৩</v>
      </c>
      <c r="H2658" s="75" t="s">
        <v>329</v>
      </c>
      <c r="I2658" s="75" t="s">
        <v>329</v>
      </c>
      <c r="J2658" s="5"/>
    </row>
    <row r="2659" spans="1:10" x14ac:dyDescent="0.25">
      <c r="A2659" s="39">
        <v>2658</v>
      </c>
      <c r="B2659" s="3" t="s">
        <v>1578</v>
      </c>
      <c r="C2659" s="75" t="s">
        <v>1571</v>
      </c>
      <c r="D2659" s="75" t="s">
        <v>1475</v>
      </c>
      <c r="E2659" s="75" t="str">
        <f>"০১৭২৩৩৪২২০৮"</f>
        <v>০১৭২৩৩৪২২০৮</v>
      </c>
      <c r="F2659" s="22" t="str">
        <f>"8119457830400"</f>
        <v>8119457830400</v>
      </c>
      <c r="G2659" s="75" t="str">
        <f>"০৮৯২"</f>
        <v>০৮৯২</v>
      </c>
      <c r="H2659" s="75" t="s">
        <v>330</v>
      </c>
      <c r="I2659" s="75" t="s">
        <v>330</v>
      </c>
      <c r="J2659" s="5"/>
    </row>
    <row r="2660" spans="1:10" x14ac:dyDescent="0.25">
      <c r="A2660" s="39">
        <v>2659</v>
      </c>
      <c r="B2660" s="3" t="s">
        <v>2906</v>
      </c>
      <c r="C2660" s="75" t="s">
        <v>1628</v>
      </c>
      <c r="D2660" s="75" t="s">
        <v>1475</v>
      </c>
      <c r="E2660" s="75" t="str">
        <f>"০১৭৩৯২০১১২৪"</f>
        <v>০১৭৩৯২০১১২৪</v>
      </c>
      <c r="F2660" s="22" t="str">
        <f>"811945783050"</f>
        <v>811945783050</v>
      </c>
      <c r="G2660" s="75" t="str">
        <f>"০৮৯১"</f>
        <v>০৮৯১</v>
      </c>
      <c r="H2660" s="75" t="s">
        <v>319</v>
      </c>
      <c r="I2660" s="75" t="s">
        <v>319</v>
      </c>
      <c r="J2660" s="5"/>
    </row>
    <row r="2661" spans="1:10" x14ac:dyDescent="0.25">
      <c r="A2661" s="39">
        <v>2660</v>
      </c>
      <c r="B2661" s="3" t="s">
        <v>3415</v>
      </c>
      <c r="C2661" s="75" t="s">
        <v>2901</v>
      </c>
      <c r="D2661" s="75" t="s">
        <v>1475</v>
      </c>
      <c r="E2661" s="75" t="str">
        <f>"০১৭৫০৪১৯৫১১"</f>
        <v>০১৭৫০৪১৯৫১১</v>
      </c>
      <c r="F2661" s="22" t="str">
        <f>"8119457832068"</f>
        <v>8119457832068</v>
      </c>
      <c r="G2661" s="75" t="str">
        <f>"০৮৯০"</f>
        <v>০৮৯০</v>
      </c>
      <c r="H2661" s="75" t="s">
        <v>319</v>
      </c>
      <c r="I2661" s="75" t="s">
        <v>319</v>
      </c>
      <c r="J2661" s="5"/>
    </row>
    <row r="2662" spans="1:10" x14ac:dyDescent="0.25">
      <c r="A2662" s="39">
        <v>2661</v>
      </c>
      <c r="B2662" s="3" t="s">
        <v>1820</v>
      </c>
      <c r="C2662" s="75" t="s">
        <v>3416</v>
      </c>
      <c r="D2662" s="75" t="s">
        <v>1475</v>
      </c>
      <c r="E2662" s="75" t="str">
        <f>"০১৭২৬৪৩৩৮৩৩"</f>
        <v>০১৭২৬৪৩৩৮৩৩</v>
      </c>
      <c r="F2662" s="22" t="str">
        <f>"8119457830220"</f>
        <v>8119457830220</v>
      </c>
      <c r="G2662" s="75" t="str">
        <f>"০৮৮৯"</f>
        <v>০৮৮৯</v>
      </c>
      <c r="H2662" s="75" t="s">
        <v>330</v>
      </c>
      <c r="I2662" s="75" t="s">
        <v>330</v>
      </c>
      <c r="J2662" s="5"/>
    </row>
    <row r="2663" spans="1:10" x14ac:dyDescent="0.25">
      <c r="A2663" s="39">
        <v>2662</v>
      </c>
      <c r="B2663" s="3" t="s">
        <v>1546</v>
      </c>
      <c r="C2663" s="75" t="s">
        <v>3417</v>
      </c>
      <c r="D2663" s="75" t="s">
        <v>1475</v>
      </c>
      <c r="E2663" s="75" t="str">
        <f>"০১৭৬৪২৫৯৪০৯"</f>
        <v>০১৭৬৪২৫৯৪০৯</v>
      </c>
      <c r="F2663" s="22" t="str">
        <f>"8119457830016"</f>
        <v>8119457830016</v>
      </c>
      <c r="G2663" s="75" t="str">
        <f>"০৮৮৮"</f>
        <v>০৮৮৮</v>
      </c>
      <c r="H2663" s="75" t="s">
        <v>319</v>
      </c>
      <c r="I2663" s="75" t="s">
        <v>319</v>
      </c>
      <c r="J2663" s="5"/>
    </row>
    <row r="2664" spans="1:10" x14ac:dyDescent="0.25">
      <c r="A2664" s="39">
        <v>2663</v>
      </c>
      <c r="B2664" s="3" t="s">
        <v>3418</v>
      </c>
      <c r="C2664" s="75" t="s">
        <v>3419</v>
      </c>
      <c r="D2664" s="75" t="s">
        <v>1475</v>
      </c>
      <c r="E2664" s="75" t="str">
        <f>"০১৮৪০৪৫৬০৩২"</f>
        <v>০১৮৪০৪৫৬০৩২</v>
      </c>
      <c r="F2664" s="22" t="str">
        <f>"8119457830427"</f>
        <v>8119457830427</v>
      </c>
      <c r="G2664" s="75" t="str">
        <f>"০৮৮৭"</f>
        <v>০৮৮৭</v>
      </c>
      <c r="H2664" s="75" t="s">
        <v>329</v>
      </c>
      <c r="I2664" s="75" t="s">
        <v>329</v>
      </c>
      <c r="J2664" s="5"/>
    </row>
    <row r="2665" spans="1:10" x14ac:dyDescent="0.25">
      <c r="A2665" s="39">
        <v>2664</v>
      </c>
      <c r="B2665" s="3" t="s">
        <v>3420</v>
      </c>
      <c r="C2665" s="75" t="s">
        <v>3421</v>
      </c>
      <c r="D2665" s="75" t="s">
        <v>1475</v>
      </c>
      <c r="E2665" s="75" t="str">
        <f>"০১৮৬৬৫০৪৯৬২"</f>
        <v>০১৮৬৬৫০৪৯৬২</v>
      </c>
      <c r="F2665" s="22" t="str">
        <f>"8119457000228"</f>
        <v>8119457000228</v>
      </c>
      <c r="G2665" s="75" t="str">
        <f>"০৮৮৬"</f>
        <v>০৮৮৬</v>
      </c>
      <c r="H2665" s="75" t="s">
        <v>315</v>
      </c>
      <c r="I2665" s="75" t="s">
        <v>315</v>
      </c>
      <c r="J2665" s="5"/>
    </row>
    <row r="2666" spans="1:10" x14ac:dyDescent="0.25">
      <c r="A2666" s="39">
        <v>2665</v>
      </c>
      <c r="B2666" s="3" t="s">
        <v>1651</v>
      </c>
      <c r="C2666" s="75" t="s">
        <v>1957</v>
      </c>
      <c r="D2666" s="75" t="s">
        <v>1475</v>
      </c>
      <c r="E2666" s="75" t="str">
        <f>"০১৭৬৭১৫৮৯১০"</f>
        <v>০১৭৬৭১৫৮৯১০</v>
      </c>
      <c r="F2666" s="22" t="str">
        <f>"8119457000189"</f>
        <v>8119457000189</v>
      </c>
      <c r="G2666" s="75" t="str">
        <f>"০৮৮৫"</f>
        <v>০৮৮৫</v>
      </c>
      <c r="H2666" s="75" t="s">
        <v>322</v>
      </c>
      <c r="I2666" s="75" t="s">
        <v>322</v>
      </c>
      <c r="J2666" s="5"/>
    </row>
    <row r="2667" spans="1:10" x14ac:dyDescent="0.25">
      <c r="A2667" s="39">
        <v>2666</v>
      </c>
      <c r="B2667" s="3" t="s">
        <v>3422</v>
      </c>
      <c r="C2667" s="75" t="s">
        <v>3423</v>
      </c>
      <c r="D2667" s="75" t="s">
        <v>1475</v>
      </c>
      <c r="E2667" s="75" t="str">
        <f>"০১৭৬২৪৭১০৬৮"</f>
        <v>০১৭৬২৪৭১০৬৮</v>
      </c>
      <c r="F2667" s="22" t="str">
        <f>"8119457000383"</f>
        <v>8119457000383</v>
      </c>
      <c r="G2667" s="75" t="str">
        <f>"০৮৮৪"</f>
        <v>০৮৮৪</v>
      </c>
      <c r="H2667" s="75" t="s">
        <v>319</v>
      </c>
      <c r="I2667" s="75" t="s">
        <v>319</v>
      </c>
      <c r="J2667" s="5"/>
    </row>
    <row r="2668" spans="1:10" x14ac:dyDescent="0.25">
      <c r="A2668" s="39">
        <v>2667</v>
      </c>
      <c r="B2668" s="3" t="s">
        <v>3424</v>
      </c>
      <c r="C2668" s="75" t="s">
        <v>3425</v>
      </c>
      <c r="D2668" s="75" t="s">
        <v>1475</v>
      </c>
      <c r="E2668" s="75" t="str">
        <f>"০"</f>
        <v>০</v>
      </c>
      <c r="F2668" s="22" t="str">
        <f>"8119457830561"</f>
        <v>8119457830561</v>
      </c>
      <c r="G2668" s="75" t="str">
        <f>"০৮৮৩"</f>
        <v>০৮৮৩</v>
      </c>
      <c r="H2668" s="75" t="s">
        <v>319</v>
      </c>
      <c r="I2668" s="75" t="s">
        <v>319</v>
      </c>
      <c r="J2668" s="5"/>
    </row>
    <row r="2669" spans="1:10" x14ac:dyDescent="0.25">
      <c r="A2669" s="39">
        <v>2668</v>
      </c>
      <c r="B2669" s="3" t="s">
        <v>3426</v>
      </c>
      <c r="C2669" s="75" t="s">
        <v>3427</v>
      </c>
      <c r="D2669" s="75" t="s">
        <v>1475</v>
      </c>
      <c r="E2669" s="75" t="str">
        <f>"০"</f>
        <v>০</v>
      </c>
      <c r="F2669" s="22" t="str">
        <f>"8119457830540"</f>
        <v>8119457830540</v>
      </c>
      <c r="G2669" s="75" t="str">
        <f>"০৮৮২"</f>
        <v>০৮৮২</v>
      </c>
      <c r="H2669" s="75" t="s">
        <v>319</v>
      </c>
      <c r="I2669" s="75" t="s">
        <v>319</v>
      </c>
      <c r="J2669" s="5"/>
    </row>
    <row r="2670" spans="1:10" x14ac:dyDescent="0.25">
      <c r="A2670" s="39">
        <v>2669</v>
      </c>
      <c r="B2670" s="3" t="s">
        <v>3428</v>
      </c>
      <c r="C2670" s="75" t="s">
        <v>2498</v>
      </c>
      <c r="D2670" s="75" t="s">
        <v>1475</v>
      </c>
      <c r="E2670" s="75" t="str">
        <f>"০"</f>
        <v>০</v>
      </c>
      <c r="F2670" s="22" t="str">
        <f>"8119457832080"</f>
        <v>8119457832080</v>
      </c>
      <c r="G2670" s="75" t="str">
        <f>"০৮৮১"</f>
        <v>০৮৮১</v>
      </c>
      <c r="H2670" s="75" t="s">
        <v>456</v>
      </c>
      <c r="I2670" s="75" t="s">
        <v>456</v>
      </c>
      <c r="J2670" s="5"/>
    </row>
    <row r="2671" spans="1:10" x14ac:dyDescent="0.25">
      <c r="A2671" s="39">
        <v>2670</v>
      </c>
      <c r="B2671" s="3" t="s">
        <v>3429</v>
      </c>
      <c r="C2671" s="75" t="s">
        <v>3430</v>
      </c>
      <c r="D2671" s="75" t="s">
        <v>1380</v>
      </c>
      <c r="E2671" s="75" t="str">
        <f>"০১৭১৯৪৭৩০৯১"</f>
        <v>০১৭১৯৪৭৩০৯১</v>
      </c>
      <c r="F2671" s="22" t="str">
        <f>"8119457819835"</f>
        <v>8119457819835</v>
      </c>
      <c r="G2671" s="75" t="str">
        <f>"০৭২০"</f>
        <v>০৭২০</v>
      </c>
      <c r="H2671" s="75" t="s">
        <v>319</v>
      </c>
      <c r="I2671" s="75" t="s">
        <v>319</v>
      </c>
      <c r="J2671" s="5"/>
    </row>
    <row r="2672" spans="1:10" x14ac:dyDescent="0.25">
      <c r="A2672" s="39">
        <v>2671</v>
      </c>
      <c r="B2672" s="3" t="s">
        <v>3431</v>
      </c>
      <c r="C2672" s="75" t="s">
        <v>3432</v>
      </c>
      <c r="D2672" s="75" t="s">
        <v>1380</v>
      </c>
      <c r="E2672" s="75" t="str">
        <f>"০১৭২০৯২৮০১৫"</f>
        <v>০১৭২০৯২৮০১৫</v>
      </c>
      <c r="F2672" s="22" t="str">
        <f>"8119457819960"</f>
        <v>8119457819960</v>
      </c>
      <c r="G2672" s="75" t="str">
        <f>"০৭১৯"</f>
        <v>০৭১৯</v>
      </c>
      <c r="H2672" s="75" t="s">
        <v>319</v>
      </c>
      <c r="I2672" s="75" t="s">
        <v>319</v>
      </c>
      <c r="J2672" s="5"/>
    </row>
    <row r="2673" spans="1:10" x14ac:dyDescent="0.25">
      <c r="A2673" s="39">
        <v>2672</v>
      </c>
      <c r="B2673" s="3" t="s">
        <v>3433</v>
      </c>
      <c r="C2673" s="75" t="s">
        <v>3434</v>
      </c>
      <c r="D2673" s="75" t="s">
        <v>1380</v>
      </c>
      <c r="E2673" s="75" t="str">
        <f>"০১৭১৫৬৫৩৫২৪"</f>
        <v>০১৭১৫৬৫৩৫২৪</v>
      </c>
      <c r="F2673" s="22" t="str">
        <f>"8119457819897"</f>
        <v>8119457819897</v>
      </c>
      <c r="G2673" s="75" t="str">
        <f>"০৭১৮"</f>
        <v>০৭১৮</v>
      </c>
      <c r="H2673" s="75" t="s">
        <v>1394</v>
      </c>
      <c r="I2673" s="75" t="s">
        <v>1394</v>
      </c>
      <c r="J2673" s="5"/>
    </row>
    <row r="2674" spans="1:10" x14ac:dyDescent="0.25">
      <c r="A2674" s="39">
        <v>2673</v>
      </c>
      <c r="B2674" s="3" t="s">
        <v>3435</v>
      </c>
      <c r="C2674" s="75" t="s">
        <v>3436</v>
      </c>
      <c r="D2674" s="75" t="s">
        <v>1380</v>
      </c>
      <c r="E2674" s="75" t="str">
        <f>"০১৭৪৪৩৫২৩৯১"</f>
        <v>০১৭৪৪৩৫২৩৯১</v>
      </c>
      <c r="F2674" s="22" t="str">
        <f>"8119457819899"</f>
        <v>8119457819899</v>
      </c>
      <c r="G2674" s="75" t="str">
        <f>"০৭১৭"</f>
        <v>০৭১৭</v>
      </c>
      <c r="H2674" s="75" t="s">
        <v>319</v>
      </c>
      <c r="I2674" s="75" t="s">
        <v>319</v>
      </c>
      <c r="J2674" s="5"/>
    </row>
    <row r="2675" spans="1:10" x14ac:dyDescent="0.25">
      <c r="A2675" s="39">
        <v>2674</v>
      </c>
      <c r="B2675" s="3" t="s">
        <v>3437</v>
      </c>
      <c r="C2675" s="75" t="s">
        <v>3438</v>
      </c>
      <c r="D2675" s="75" t="s">
        <v>1380</v>
      </c>
      <c r="E2675" s="75" t="str">
        <f>"০১৭৩১৯৩২৫১৮"</f>
        <v>০১৭৩১৯৩২৫১৮</v>
      </c>
      <c r="F2675" s="22" t="str">
        <f>"8119457819783"</f>
        <v>8119457819783</v>
      </c>
      <c r="G2675" s="75" t="str">
        <f>"০৭১৬"</f>
        <v>০৭১৬</v>
      </c>
      <c r="H2675" s="75" t="s">
        <v>319</v>
      </c>
      <c r="I2675" s="75" t="s">
        <v>319</v>
      </c>
      <c r="J2675" s="5"/>
    </row>
    <row r="2676" spans="1:10" x14ac:dyDescent="0.25">
      <c r="A2676" s="39">
        <v>2675</v>
      </c>
      <c r="B2676" s="3" t="s">
        <v>3439</v>
      </c>
      <c r="C2676" s="75" t="s">
        <v>3440</v>
      </c>
      <c r="D2676" s="75" t="s">
        <v>1380</v>
      </c>
      <c r="E2676" s="75" t="str">
        <f>"০"</f>
        <v>০</v>
      </c>
      <c r="F2676" s="22" t="str">
        <f>"8119457819993"</f>
        <v>8119457819993</v>
      </c>
      <c r="G2676" s="75" t="str">
        <f>"০৭১৫"</f>
        <v>০৭১৫</v>
      </c>
      <c r="H2676" s="75" t="s">
        <v>456</v>
      </c>
      <c r="I2676" s="75" t="s">
        <v>456</v>
      </c>
      <c r="J2676" s="5"/>
    </row>
    <row r="2677" spans="1:10" x14ac:dyDescent="0.25">
      <c r="A2677" s="39">
        <v>2676</v>
      </c>
      <c r="B2677" s="3" t="s">
        <v>1563</v>
      </c>
      <c r="C2677" s="75" t="s">
        <v>3441</v>
      </c>
      <c r="D2677" s="75" t="s">
        <v>1380</v>
      </c>
      <c r="E2677" s="75" t="str">
        <f>"০১৭৭০৪৫৯৩৮৪"</f>
        <v>০১৭৭০৪৫৯৩৮৪</v>
      </c>
      <c r="F2677" s="22" t="str">
        <f>"8119457819998"</f>
        <v>8119457819998</v>
      </c>
      <c r="G2677" s="75" t="str">
        <f>"০৭১৪"</f>
        <v>০৭১৪</v>
      </c>
      <c r="H2677" s="75" t="s">
        <v>322</v>
      </c>
      <c r="I2677" s="75" t="s">
        <v>322</v>
      </c>
      <c r="J2677" s="5"/>
    </row>
    <row r="2678" spans="1:10" x14ac:dyDescent="0.25">
      <c r="A2678" s="39">
        <v>2677</v>
      </c>
      <c r="B2678" s="3" t="s">
        <v>3442</v>
      </c>
      <c r="C2678" s="75" t="s">
        <v>3443</v>
      </c>
      <c r="D2678" s="75" t="s">
        <v>1380</v>
      </c>
      <c r="E2678" s="75" t="str">
        <f>"০১৭১০৯৬৮৪০৩"</f>
        <v>০১৭১০৯৬৮৪০৩</v>
      </c>
      <c r="F2678" s="22" t="str">
        <f>"8119457819761"</f>
        <v>8119457819761</v>
      </c>
      <c r="G2678" s="75" t="str">
        <f>"০৭১৩"</f>
        <v>০৭১৩</v>
      </c>
      <c r="H2678" s="75" t="s">
        <v>1434</v>
      </c>
      <c r="I2678" s="75" t="s">
        <v>1434</v>
      </c>
      <c r="J2678" s="5"/>
    </row>
    <row r="2679" spans="1:10" x14ac:dyDescent="0.25">
      <c r="A2679" s="39">
        <v>2678</v>
      </c>
      <c r="B2679" s="3" t="s">
        <v>3444</v>
      </c>
      <c r="C2679" s="75" t="s">
        <v>3445</v>
      </c>
      <c r="D2679" s="75" t="s">
        <v>1380</v>
      </c>
      <c r="E2679" s="75" t="str">
        <f>"০১৭৩৭৬২৩৫৬০"</f>
        <v>০১৭৩৭৬২৩৫৬০</v>
      </c>
      <c r="F2679" s="22" t="str">
        <f>"8119457000297"</f>
        <v>8119457000297</v>
      </c>
      <c r="G2679" s="75" t="str">
        <f>"০৭১২"</f>
        <v>০৭১২</v>
      </c>
      <c r="H2679" s="75" t="s">
        <v>319</v>
      </c>
      <c r="I2679" s="75" t="s">
        <v>319</v>
      </c>
      <c r="J2679" s="5"/>
    </row>
    <row r="2680" spans="1:10" x14ac:dyDescent="0.25">
      <c r="A2680" s="39">
        <v>2679</v>
      </c>
      <c r="B2680" s="3" t="s">
        <v>1679</v>
      </c>
      <c r="C2680" s="75" t="s">
        <v>3446</v>
      </c>
      <c r="D2680" s="75" t="s">
        <v>1380</v>
      </c>
      <c r="E2680" s="75" t="str">
        <f>"০১৭২২৮২১৯৪২"</f>
        <v>০১৭২২৮২১৯৪২</v>
      </c>
      <c r="F2680" s="22" t="str">
        <f>"8119457819930"</f>
        <v>8119457819930</v>
      </c>
      <c r="G2680" s="75" t="str">
        <f>"০৭১১"</f>
        <v>০৭১১</v>
      </c>
      <c r="H2680" s="75" t="s">
        <v>371</v>
      </c>
      <c r="I2680" s="75" t="s">
        <v>371</v>
      </c>
      <c r="J2680" s="5"/>
    </row>
    <row r="2681" spans="1:10" x14ac:dyDescent="0.25">
      <c r="A2681" s="39">
        <v>2680</v>
      </c>
      <c r="B2681" s="3" t="s">
        <v>3447</v>
      </c>
      <c r="C2681" s="75" t="s">
        <v>3433</v>
      </c>
      <c r="D2681" s="75" t="s">
        <v>1380</v>
      </c>
      <c r="E2681" s="75" t="str">
        <f>"০১৭৬৮৩১১৮৩৮"</f>
        <v>০১৭৬৮৩১১৮৩৮</v>
      </c>
      <c r="F2681" s="22" t="str">
        <f>"8119457819901"</f>
        <v>8119457819901</v>
      </c>
      <c r="G2681" s="75" t="str">
        <f>"০৭১০"</f>
        <v>০৭১০</v>
      </c>
      <c r="H2681" s="75" t="s">
        <v>322</v>
      </c>
      <c r="I2681" s="75" t="s">
        <v>322</v>
      </c>
      <c r="J2681" s="5"/>
    </row>
    <row r="2682" spans="1:10" x14ac:dyDescent="0.25">
      <c r="A2682" s="39">
        <v>2681</v>
      </c>
      <c r="B2682" s="3" t="s">
        <v>3448</v>
      </c>
      <c r="C2682" s="75" t="s">
        <v>3449</v>
      </c>
      <c r="D2682" s="75" t="s">
        <v>1380</v>
      </c>
      <c r="E2682" s="75" t="str">
        <f>"০"</f>
        <v>০</v>
      </c>
      <c r="F2682" s="22" t="str">
        <f>"8119457819642"</f>
        <v>8119457819642</v>
      </c>
      <c r="G2682" s="75" t="str">
        <f>"০৭০৯"</f>
        <v>০৭০৯</v>
      </c>
      <c r="H2682" s="75" t="s">
        <v>371</v>
      </c>
      <c r="I2682" s="75" t="s">
        <v>371</v>
      </c>
      <c r="J2682" s="5"/>
    </row>
    <row r="2683" spans="1:10" x14ac:dyDescent="0.25">
      <c r="A2683" s="39">
        <v>2682</v>
      </c>
      <c r="B2683" s="3" t="s">
        <v>3450</v>
      </c>
      <c r="C2683" s="75" t="s">
        <v>3451</v>
      </c>
      <c r="D2683" s="75" t="s">
        <v>1380</v>
      </c>
      <c r="E2683" s="75" t="str">
        <f>"০১৭২১৫১২৯০০"</f>
        <v>০১৭২১৫১২৯০০</v>
      </c>
      <c r="F2683" s="22" t="str">
        <f>"8119457819988"</f>
        <v>8119457819988</v>
      </c>
      <c r="G2683" s="75" t="str">
        <f>"০৭০৮"</f>
        <v>০৭০৮</v>
      </c>
      <c r="H2683" s="75" t="s">
        <v>371</v>
      </c>
      <c r="I2683" s="75" t="s">
        <v>371</v>
      </c>
      <c r="J2683" s="5"/>
    </row>
    <row r="2684" spans="1:10" x14ac:dyDescent="0.25">
      <c r="A2684" s="39">
        <v>2683</v>
      </c>
      <c r="B2684" s="3" t="s">
        <v>3452</v>
      </c>
      <c r="C2684" s="75" t="s">
        <v>3453</v>
      </c>
      <c r="D2684" s="75" t="s">
        <v>1380</v>
      </c>
      <c r="E2684" s="75" t="str">
        <f>"০১৭৪৭০৯৫৬৫১"</f>
        <v>০১৭৪৭০৯৫৬৫১</v>
      </c>
      <c r="F2684" s="22" t="str">
        <f>"8119457819758"</f>
        <v>8119457819758</v>
      </c>
      <c r="G2684" s="75" t="str">
        <f>"০৭০৭"</f>
        <v>০৭০৭</v>
      </c>
      <c r="H2684" s="75" t="s">
        <v>322</v>
      </c>
      <c r="I2684" s="75" t="s">
        <v>322</v>
      </c>
      <c r="J2684" s="5"/>
    </row>
    <row r="2685" spans="1:10" x14ac:dyDescent="0.25">
      <c r="A2685" s="39">
        <v>2684</v>
      </c>
      <c r="B2685" s="3" t="s">
        <v>3454</v>
      </c>
      <c r="C2685" s="75" t="s">
        <v>3455</v>
      </c>
      <c r="D2685" s="75" t="s">
        <v>1380</v>
      </c>
      <c r="E2685" s="75" t="str">
        <f>"০১৭৩৯৪১৫২৩০"</f>
        <v>০১৭৩৯৪১৫২৩০</v>
      </c>
      <c r="F2685" s="22" t="str">
        <f>"8119457819697"</f>
        <v>8119457819697</v>
      </c>
      <c r="G2685" s="75" t="str">
        <f>"০৭০৬"</f>
        <v>০৭০৬</v>
      </c>
      <c r="H2685" s="75" t="s">
        <v>371</v>
      </c>
      <c r="I2685" s="75" t="s">
        <v>371</v>
      </c>
      <c r="J2685" s="5"/>
    </row>
    <row r="2686" spans="1:10" x14ac:dyDescent="0.25">
      <c r="A2686" s="39">
        <v>2685</v>
      </c>
      <c r="B2686" s="3" t="s">
        <v>3456</v>
      </c>
      <c r="C2686" s="75" t="s">
        <v>2267</v>
      </c>
      <c r="D2686" s="75" t="s">
        <v>1380</v>
      </c>
      <c r="E2686" s="75" t="str">
        <f>"০১৭২৩৩৪০৫০৪"</f>
        <v>০১৭২৩৩৪০৫০৪</v>
      </c>
      <c r="F2686" s="22" t="str">
        <f>"8119457819996"</f>
        <v>8119457819996</v>
      </c>
      <c r="G2686" s="75" t="str">
        <f>"০৭০৫"</f>
        <v>০৭০৫</v>
      </c>
      <c r="H2686" s="75" t="s">
        <v>364</v>
      </c>
      <c r="I2686" s="75" t="s">
        <v>364</v>
      </c>
      <c r="J2686" s="5"/>
    </row>
    <row r="2687" spans="1:10" x14ac:dyDescent="0.25">
      <c r="A2687" s="39">
        <v>2686</v>
      </c>
      <c r="B2687" s="3" t="s">
        <v>3457</v>
      </c>
      <c r="C2687" s="75" t="s">
        <v>3458</v>
      </c>
      <c r="D2687" s="75" t="s">
        <v>1474</v>
      </c>
      <c r="E2687" s="75" t="str">
        <f>"০"</f>
        <v>০</v>
      </c>
      <c r="F2687" s="22" t="str">
        <f>"8119457813568"</f>
        <v>8119457813568</v>
      </c>
      <c r="G2687" s="75" t="str">
        <f>"০৬৪৪"</f>
        <v>০৬৪৪</v>
      </c>
      <c r="H2687" s="75" t="s">
        <v>371</v>
      </c>
      <c r="I2687" s="75" t="s">
        <v>371</v>
      </c>
      <c r="J2687" s="5"/>
    </row>
    <row r="2688" spans="1:10" x14ac:dyDescent="0.25">
      <c r="A2688" s="39">
        <v>2687</v>
      </c>
      <c r="B2688" s="3" t="s">
        <v>3459</v>
      </c>
      <c r="C2688" s="75" t="s">
        <v>3460</v>
      </c>
      <c r="D2688" s="75" t="s">
        <v>1474</v>
      </c>
      <c r="E2688" s="75" t="str">
        <f>"০১৭৩৬৭৮০৩৭০"</f>
        <v>০১৭৩৬৭৮০৩৭০</v>
      </c>
      <c r="F2688" s="22" t="str">
        <f>"8119457813084"</f>
        <v>8119457813084</v>
      </c>
      <c r="G2688" s="75" t="str">
        <f>"০৬৪৩"</f>
        <v>০৬৪৩</v>
      </c>
      <c r="H2688" s="75" t="s">
        <v>371</v>
      </c>
      <c r="I2688" s="75" t="s">
        <v>371</v>
      </c>
      <c r="J2688" s="5"/>
    </row>
    <row r="2689" spans="1:10" x14ac:dyDescent="0.25">
      <c r="A2689" s="39">
        <v>2688</v>
      </c>
      <c r="B2689" s="3" t="s">
        <v>3461</v>
      </c>
      <c r="C2689" s="75" t="s">
        <v>3462</v>
      </c>
      <c r="D2689" s="75" t="s">
        <v>1474</v>
      </c>
      <c r="E2689" s="75" t="str">
        <f>"০১৭৪৩৯০০১০৮"</f>
        <v>০১৭৪৩৯০০১০৮</v>
      </c>
      <c r="F2689" s="22" t="str">
        <f>"8119457813536"</f>
        <v>8119457813536</v>
      </c>
      <c r="G2689" s="75" t="str">
        <f>"০৬৪২"</f>
        <v>০৬৪২</v>
      </c>
      <c r="H2689" s="75" t="s">
        <v>371</v>
      </c>
      <c r="I2689" s="75" t="s">
        <v>371</v>
      </c>
      <c r="J2689" s="5"/>
    </row>
    <row r="2690" spans="1:10" x14ac:dyDescent="0.25">
      <c r="A2690" s="39">
        <v>2689</v>
      </c>
      <c r="B2690" s="3" t="s">
        <v>3463</v>
      </c>
      <c r="C2690" s="75" t="s">
        <v>1673</v>
      </c>
      <c r="D2690" s="75" t="s">
        <v>1474</v>
      </c>
      <c r="E2690" s="75" t="str">
        <f>"০১৭৩৭৪৩৮৪৭১"</f>
        <v>০১৭৩৭৪৩৮৪৭১</v>
      </c>
      <c r="F2690" s="22" t="str">
        <f>"8119457814037"</f>
        <v>8119457814037</v>
      </c>
      <c r="G2690" s="75" t="str">
        <f>"০৬৪১"</f>
        <v>০৬৪১</v>
      </c>
      <c r="H2690" s="75" t="s">
        <v>322</v>
      </c>
      <c r="I2690" s="75" t="s">
        <v>322</v>
      </c>
      <c r="J2690" s="5"/>
    </row>
    <row r="2691" spans="1:10" x14ac:dyDescent="0.25">
      <c r="A2691" s="39">
        <v>2690</v>
      </c>
      <c r="B2691" s="3" t="s">
        <v>3464</v>
      </c>
      <c r="C2691" s="75" t="s">
        <v>2273</v>
      </c>
      <c r="D2691" s="75" t="s">
        <v>1474</v>
      </c>
      <c r="E2691" s="75" t="str">
        <f>"০"</f>
        <v>০</v>
      </c>
      <c r="F2691" s="22" t="str">
        <f>"8119457813588"</f>
        <v>8119457813588</v>
      </c>
      <c r="G2691" s="75" t="str">
        <f>"০৬৪০"</f>
        <v>০৬৪০</v>
      </c>
      <c r="H2691" s="75" t="s">
        <v>371</v>
      </c>
      <c r="I2691" s="75" t="s">
        <v>371</v>
      </c>
      <c r="J2691" s="5"/>
    </row>
    <row r="2692" spans="1:10" x14ac:dyDescent="0.25">
      <c r="A2692" s="39">
        <v>2691</v>
      </c>
      <c r="B2692" s="3" t="s">
        <v>3465</v>
      </c>
      <c r="C2692" s="75" t="s">
        <v>3466</v>
      </c>
      <c r="D2692" s="75" t="s">
        <v>1474</v>
      </c>
      <c r="E2692" s="75" t="str">
        <f>"০"</f>
        <v>০</v>
      </c>
      <c r="F2692" s="22" t="str">
        <f>"8119457814046"</f>
        <v>8119457814046</v>
      </c>
      <c r="G2692" s="75" t="str">
        <f>"০৬৩৯"</f>
        <v>০৬৩৯</v>
      </c>
      <c r="H2692" s="75" t="s">
        <v>329</v>
      </c>
      <c r="I2692" s="75" t="s">
        <v>329</v>
      </c>
      <c r="J2692" s="5"/>
    </row>
    <row r="2693" spans="1:10" x14ac:dyDescent="0.25">
      <c r="A2693" s="39">
        <v>2692</v>
      </c>
      <c r="B2693" s="3" t="s">
        <v>3467</v>
      </c>
      <c r="C2693" s="75" t="s">
        <v>3468</v>
      </c>
      <c r="D2693" s="75" t="s">
        <v>1474</v>
      </c>
      <c r="E2693" s="75" t="str">
        <f>"০"</f>
        <v>০</v>
      </c>
      <c r="F2693" s="22" t="str">
        <f>"8119457813643"</f>
        <v>8119457813643</v>
      </c>
      <c r="G2693" s="75" t="str">
        <f>"০৬৩৮"</f>
        <v>০৬৩৮</v>
      </c>
      <c r="H2693" s="75" t="s">
        <v>371</v>
      </c>
      <c r="I2693" s="75" t="s">
        <v>371</v>
      </c>
      <c r="J2693" s="5"/>
    </row>
    <row r="2694" spans="1:10" x14ac:dyDescent="0.25">
      <c r="A2694" s="39">
        <v>2693</v>
      </c>
      <c r="B2694" s="3" t="s">
        <v>3469</v>
      </c>
      <c r="C2694" s="75" t="s">
        <v>3470</v>
      </c>
      <c r="D2694" s="75" t="s">
        <v>1474</v>
      </c>
      <c r="E2694" s="75" t="str">
        <f>"০"</f>
        <v>০</v>
      </c>
      <c r="F2694" s="22" t="str">
        <f>"8119457813082"</f>
        <v>8119457813082</v>
      </c>
      <c r="G2694" s="75" t="str">
        <f>"০৬৩৭"</f>
        <v>০৬৩৭</v>
      </c>
      <c r="H2694" s="75" t="s">
        <v>371</v>
      </c>
      <c r="I2694" s="75" t="s">
        <v>371</v>
      </c>
      <c r="J2694" s="5"/>
    </row>
    <row r="2695" spans="1:10" x14ac:dyDescent="0.25">
      <c r="A2695" s="39">
        <v>2694</v>
      </c>
      <c r="B2695" s="3" t="s">
        <v>3471</v>
      </c>
      <c r="C2695" s="75" t="s">
        <v>3472</v>
      </c>
      <c r="D2695" s="75" t="s">
        <v>1474</v>
      </c>
      <c r="E2695" s="75" t="str">
        <f>"০১৭৯০৯৫২৭৯৪"</f>
        <v>০১৭৯০৯৫২৭৯৪</v>
      </c>
      <c r="F2695" s="22" t="str">
        <f>"8119457813638"</f>
        <v>8119457813638</v>
      </c>
      <c r="G2695" s="75" t="str">
        <f>"০৬৩৬"</f>
        <v>০৬৩৬</v>
      </c>
      <c r="H2695" s="75" t="s">
        <v>371</v>
      </c>
      <c r="I2695" s="75" t="s">
        <v>371</v>
      </c>
      <c r="J2695" s="5"/>
    </row>
    <row r="2696" spans="1:10" x14ac:dyDescent="0.25">
      <c r="A2696" s="39">
        <v>2695</v>
      </c>
      <c r="B2696" s="3" t="s">
        <v>3473</v>
      </c>
      <c r="C2696" s="75" t="s">
        <v>3474</v>
      </c>
      <c r="D2696" s="75" t="s">
        <v>1474</v>
      </c>
      <c r="E2696" s="75" t="str">
        <f>"০"</f>
        <v>০</v>
      </c>
      <c r="F2696" s="22" t="str">
        <f>"8119457813613"</f>
        <v>8119457813613</v>
      </c>
      <c r="G2696" s="75" t="str">
        <f>"০৬৩৫"</f>
        <v>০৬৩৫</v>
      </c>
      <c r="H2696" s="75" t="s">
        <v>371</v>
      </c>
      <c r="I2696" s="75" t="s">
        <v>371</v>
      </c>
      <c r="J2696" s="5"/>
    </row>
    <row r="2697" spans="1:10" x14ac:dyDescent="0.25">
      <c r="A2697" s="39">
        <v>2696</v>
      </c>
      <c r="B2697" s="3" t="s">
        <v>1723</v>
      </c>
      <c r="C2697" s="75" t="s">
        <v>3475</v>
      </c>
      <c r="D2697" s="75" t="s">
        <v>1474</v>
      </c>
      <c r="E2697" s="75" t="str">
        <f>"০"</f>
        <v>০</v>
      </c>
      <c r="F2697" s="22" t="str">
        <f>"8119457814065"</f>
        <v>8119457814065</v>
      </c>
      <c r="G2697" s="75" t="str">
        <f>"০৬৩৪"</f>
        <v>০৬৩৪</v>
      </c>
      <c r="H2697" s="75" t="s">
        <v>322</v>
      </c>
      <c r="I2697" s="75" t="s">
        <v>322</v>
      </c>
      <c r="J2697" s="5"/>
    </row>
    <row r="2698" spans="1:10" x14ac:dyDescent="0.25">
      <c r="A2698" s="39">
        <v>2697</v>
      </c>
      <c r="B2698" s="3" t="s">
        <v>3476</v>
      </c>
      <c r="C2698" s="75" t="s">
        <v>3477</v>
      </c>
      <c r="D2698" s="75" t="s">
        <v>1474</v>
      </c>
      <c r="E2698" s="75" t="str">
        <f>"০"</f>
        <v>০</v>
      </c>
      <c r="F2698" s="22" t="str">
        <f>"8119457813527"</f>
        <v>8119457813527</v>
      </c>
      <c r="G2698" s="75" t="str">
        <f>"০৬৩৩"</f>
        <v>০৬৩৩</v>
      </c>
      <c r="H2698" s="75" t="s">
        <v>322</v>
      </c>
      <c r="I2698" s="75" t="s">
        <v>322</v>
      </c>
      <c r="J2698" s="5"/>
    </row>
    <row r="2699" spans="1:10" x14ac:dyDescent="0.25">
      <c r="A2699" s="39">
        <v>2698</v>
      </c>
      <c r="B2699" s="3" t="s">
        <v>1649</v>
      </c>
      <c r="C2699" s="75" t="s">
        <v>3478</v>
      </c>
      <c r="D2699" s="75" t="s">
        <v>1474</v>
      </c>
      <c r="E2699" s="75" t="str">
        <f>"০"</f>
        <v>০</v>
      </c>
      <c r="F2699" s="22" t="str">
        <f>"8119457813940"</f>
        <v>8119457813940</v>
      </c>
      <c r="G2699" s="75" t="str">
        <f>"০৬৩২"</f>
        <v>০৬৩২</v>
      </c>
      <c r="H2699" s="75" t="s">
        <v>371</v>
      </c>
      <c r="I2699" s="75" t="s">
        <v>371</v>
      </c>
      <c r="J2699" s="5"/>
    </row>
    <row r="2700" spans="1:10" x14ac:dyDescent="0.25">
      <c r="A2700" s="39">
        <v>2699</v>
      </c>
      <c r="B2700" s="3" t="s">
        <v>3479</v>
      </c>
      <c r="C2700" s="75" t="s">
        <v>3480</v>
      </c>
      <c r="D2700" s="75" t="s">
        <v>1474</v>
      </c>
      <c r="E2700" s="75" t="str">
        <f>"০১৭৬৩২২৯২৫৪"</f>
        <v>০১৭৬৩২২৯২৫৪</v>
      </c>
      <c r="F2700" s="22" t="str">
        <f>"8119457813206"</f>
        <v>8119457813206</v>
      </c>
      <c r="G2700" s="75" t="str">
        <f>"০৬৩১"</f>
        <v>০৬৩১</v>
      </c>
      <c r="H2700" s="75" t="s">
        <v>371</v>
      </c>
      <c r="I2700" s="75" t="s">
        <v>371</v>
      </c>
      <c r="J2700" s="5"/>
    </row>
    <row r="2701" spans="1:10" x14ac:dyDescent="0.25">
      <c r="A2701" s="39">
        <v>2700</v>
      </c>
      <c r="B2701" s="3" t="s">
        <v>3481</v>
      </c>
      <c r="C2701" s="75" t="s">
        <v>3482</v>
      </c>
      <c r="D2701" s="75" t="s">
        <v>1474</v>
      </c>
      <c r="E2701" s="75" t="str">
        <f>"০১৭৩৯৯০০৫৩৯"</f>
        <v>০১৭৩৯৯০০৫৩৯</v>
      </c>
      <c r="F2701" s="22" t="str">
        <f>"8119457812588"</f>
        <v>8119457812588</v>
      </c>
      <c r="G2701" s="75" t="str">
        <f>"০৬৩০"</f>
        <v>০৬৩০</v>
      </c>
      <c r="H2701" s="75" t="s">
        <v>371</v>
      </c>
      <c r="I2701" s="75" t="s">
        <v>371</v>
      </c>
      <c r="J2701" s="5"/>
    </row>
    <row r="2702" spans="1:10" x14ac:dyDescent="0.25">
      <c r="A2702" s="39">
        <v>2701</v>
      </c>
      <c r="B2702" s="3" t="s">
        <v>3483</v>
      </c>
      <c r="C2702" s="75" t="s">
        <v>3484</v>
      </c>
      <c r="D2702" s="75" t="s">
        <v>1474</v>
      </c>
      <c r="E2702" s="75" t="str">
        <f>"০"</f>
        <v>০</v>
      </c>
      <c r="F2702" s="22" t="str">
        <f>"8119457813184"</f>
        <v>8119457813184</v>
      </c>
      <c r="G2702" s="75" t="str">
        <f>"০৬২৯"</f>
        <v>০৬২৯</v>
      </c>
      <c r="H2702" s="75" t="s">
        <v>371</v>
      </c>
      <c r="I2702" s="75" t="s">
        <v>371</v>
      </c>
      <c r="J2702" s="5"/>
    </row>
    <row r="2703" spans="1:10" x14ac:dyDescent="0.25">
      <c r="A2703" s="39">
        <v>2702</v>
      </c>
      <c r="B2703" s="3" t="s">
        <v>3485</v>
      </c>
      <c r="C2703" s="75" t="s">
        <v>3486</v>
      </c>
      <c r="D2703" s="75" t="s">
        <v>1474</v>
      </c>
      <c r="E2703" s="75" t="str">
        <f>"০"</f>
        <v>০</v>
      </c>
      <c r="F2703" s="22" t="str">
        <f>"8119457812779"</f>
        <v>8119457812779</v>
      </c>
      <c r="G2703" s="75" t="str">
        <f>"০৬২৮"</f>
        <v>০৬২৮</v>
      </c>
      <c r="H2703" s="75" t="s">
        <v>371</v>
      </c>
      <c r="I2703" s="75" t="s">
        <v>371</v>
      </c>
      <c r="J2703" s="5"/>
    </row>
    <row r="2704" spans="1:10" x14ac:dyDescent="0.25">
      <c r="A2704" s="39">
        <v>2703</v>
      </c>
      <c r="B2704" s="3" t="s">
        <v>2516</v>
      </c>
      <c r="C2704" s="75" t="s">
        <v>3487</v>
      </c>
      <c r="D2704" s="75" t="s">
        <v>1474</v>
      </c>
      <c r="E2704" s="75" t="str">
        <f>"০১৭৩০৯০২৮৮৬"</f>
        <v>০১৭৩০৯০২৮৮৬</v>
      </c>
      <c r="F2704" s="22" t="str">
        <f>"8119457813046"</f>
        <v>8119457813046</v>
      </c>
      <c r="G2704" s="75" t="str">
        <f>"০৬২৭"</f>
        <v>০৬২৭</v>
      </c>
      <c r="H2704" s="75" t="s">
        <v>322</v>
      </c>
      <c r="I2704" s="75" t="s">
        <v>322</v>
      </c>
      <c r="J2704" s="5"/>
    </row>
    <row r="2705" spans="1:10" x14ac:dyDescent="0.25">
      <c r="A2705" s="39">
        <v>2704</v>
      </c>
      <c r="B2705" s="3" t="s">
        <v>3488</v>
      </c>
      <c r="C2705" s="75" t="s">
        <v>3489</v>
      </c>
      <c r="D2705" s="75" t="s">
        <v>1474</v>
      </c>
      <c r="E2705" s="75" t="str">
        <f>"০১৭৮৬১১১৫৬১"</f>
        <v>০১৭৮৬১১১৫৬১</v>
      </c>
      <c r="F2705" s="22" t="str">
        <f>"8119457813612"</f>
        <v>8119457813612</v>
      </c>
      <c r="G2705" s="75" t="str">
        <f>"০৬২৬"</f>
        <v>০৬২৬</v>
      </c>
      <c r="H2705" s="75" t="s">
        <v>371</v>
      </c>
      <c r="I2705" s="75" t="s">
        <v>371</v>
      </c>
      <c r="J2705" s="5"/>
    </row>
    <row r="2706" spans="1:10" x14ac:dyDescent="0.25">
      <c r="A2706" s="39">
        <v>2705</v>
      </c>
      <c r="B2706" s="3" t="s">
        <v>3490</v>
      </c>
      <c r="C2706" s="75" t="s">
        <v>3480</v>
      </c>
      <c r="D2706" s="75" t="s">
        <v>1474</v>
      </c>
      <c r="E2706" s="75" t="str">
        <f>"০১৭"</f>
        <v>০১৭</v>
      </c>
      <c r="F2706" s="22" t="str">
        <f>"8119457813230"</f>
        <v>8119457813230</v>
      </c>
      <c r="G2706" s="75" t="str">
        <f>"০৬২৫"</f>
        <v>০৬২৫</v>
      </c>
      <c r="H2706" s="75" t="s">
        <v>371</v>
      </c>
      <c r="I2706" s="75" t="s">
        <v>371</v>
      </c>
      <c r="J2706" s="5"/>
    </row>
    <row r="2707" spans="1:10" x14ac:dyDescent="0.25">
      <c r="A2707" s="39">
        <v>2706</v>
      </c>
      <c r="B2707" s="3" t="s">
        <v>3491</v>
      </c>
      <c r="C2707" s="75" t="s">
        <v>3492</v>
      </c>
      <c r="D2707" s="75" t="s">
        <v>1370</v>
      </c>
      <c r="E2707" s="75" t="str">
        <f t="shared" ref="E2707:E2715" si="53">"০"</f>
        <v>০</v>
      </c>
      <c r="F2707" s="22" t="str">
        <f>"8119457813109"</f>
        <v>8119457813109</v>
      </c>
      <c r="G2707" s="75" t="str">
        <f>"০৫১৮"</f>
        <v>০৫১৮</v>
      </c>
      <c r="H2707" s="75" t="s">
        <v>371</v>
      </c>
      <c r="I2707" s="75" t="s">
        <v>371</v>
      </c>
      <c r="J2707" s="5"/>
    </row>
    <row r="2708" spans="1:10" x14ac:dyDescent="0.25">
      <c r="A2708" s="39">
        <v>2707</v>
      </c>
      <c r="B2708" s="3" t="s">
        <v>3493</v>
      </c>
      <c r="C2708" s="75" t="s">
        <v>1679</v>
      </c>
      <c r="D2708" s="75" t="s">
        <v>1370</v>
      </c>
      <c r="E2708" s="75" t="str">
        <f t="shared" si="53"/>
        <v>০</v>
      </c>
      <c r="F2708" s="22" t="str">
        <f>"8119457000006"</f>
        <v>8119457000006</v>
      </c>
      <c r="G2708" s="75" t="str">
        <f>"০৫১৭"</f>
        <v>০৫১৭</v>
      </c>
      <c r="H2708" s="75" t="s">
        <v>371</v>
      </c>
      <c r="I2708" s="75" t="s">
        <v>371</v>
      </c>
      <c r="J2708" s="5"/>
    </row>
    <row r="2709" spans="1:10" x14ac:dyDescent="0.25">
      <c r="A2709" s="39">
        <v>2708</v>
      </c>
      <c r="B2709" s="3" t="s">
        <v>3494</v>
      </c>
      <c r="C2709" s="75" t="s">
        <v>3495</v>
      </c>
      <c r="D2709" s="75" t="s">
        <v>1370</v>
      </c>
      <c r="E2709" s="75" t="str">
        <f t="shared" si="53"/>
        <v>০</v>
      </c>
      <c r="F2709" s="22" t="str">
        <f>"8119457814980"</f>
        <v>8119457814980</v>
      </c>
      <c r="G2709" s="75" t="str">
        <f>"০৫১৬"</f>
        <v>০৫১৬</v>
      </c>
      <c r="H2709" s="75" t="s">
        <v>371</v>
      </c>
      <c r="I2709" s="75" t="s">
        <v>371</v>
      </c>
      <c r="J2709" s="5"/>
    </row>
    <row r="2710" spans="1:10" x14ac:dyDescent="0.25">
      <c r="A2710" s="39">
        <v>2709</v>
      </c>
      <c r="B2710" s="3" t="s">
        <v>3496</v>
      </c>
      <c r="C2710" s="75" t="s">
        <v>3497</v>
      </c>
      <c r="D2710" s="75" t="s">
        <v>1370</v>
      </c>
      <c r="E2710" s="75" t="str">
        <f t="shared" si="53"/>
        <v>০</v>
      </c>
      <c r="F2710" s="22" t="str">
        <f>"8119457000333"</f>
        <v>8119457000333</v>
      </c>
      <c r="G2710" s="75" t="str">
        <f>"০৫১৫"</f>
        <v>০৫১৫</v>
      </c>
      <c r="H2710" s="75" t="s">
        <v>371</v>
      </c>
      <c r="I2710" s="75" t="s">
        <v>371</v>
      </c>
      <c r="J2710" s="5"/>
    </row>
    <row r="2711" spans="1:10" x14ac:dyDescent="0.25">
      <c r="A2711" s="39">
        <v>2710</v>
      </c>
      <c r="B2711" s="3" t="s">
        <v>3498</v>
      </c>
      <c r="C2711" s="75" t="s">
        <v>3499</v>
      </c>
      <c r="D2711" s="75" t="s">
        <v>1370</v>
      </c>
      <c r="E2711" s="75" t="str">
        <f t="shared" si="53"/>
        <v>০</v>
      </c>
      <c r="F2711" s="22" t="str">
        <f>"8119457813439"</f>
        <v>8119457813439</v>
      </c>
      <c r="G2711" s="75" t="str">
        <f>"০৫১৪"</f>
        <v>০৫১৪</v>
      </c>
      <c r="H2711" s="75" t="s">
        <v>322</v>
      </c>
      <c r="I2711" s="75" t="s">
        <v>322</v>
      </c>
      <c r="J2711" s="5"/>
    </row>
    <row r="2712" spans="1:10" x14ac:dyDescent="0.25">
      <c r="A2712" s="39">
        <v>2711</v>
      </c>
      <c r="B2712" s="3" t="s">
        <v>3500</v>
      </c>
      <c r="C2712" s="75" t="s">
        <v>3501</v>
      </c>
      <c r="D2712" s="75" t="s">
        <v>1370</v>
      </c>
      <c r="E2712" s="75" t="str">
        <f t="shared" si="53"/>
        <v>০</v>
      </c>
      <c r="F2712" s="22" t="str">
        <f>"8119457813312"</f>
        <v>8119457813312</v>
      </c>
      <c r="G2712" s="75" t="str">
        <f>"০৫১৩"</f>
        <v>০৫১৩</v>
      </c>
      <c r="H2712" s="75" t="s">
        <v>371</v>
      </c>
      <c r="I2712" s="75" t="s">
        <v>371</v>
      </c>
      <c r="J2712" s="5"/>
    </row>
    <row r="2713" spans="1:10" x14ac:dyDescent="0.25">
      <c r="A2713" s="39">
        <v>2712</v>
      </c>
      <c r="B2713" s="3" t="s">
        <v>3502</v>
      </c>
      <c r="C2713" s="75" t="s">
        <v>2254</v>
      </c>
      <c r="D2713" s="75" t="s">
        <v>1370</v>
      </c>
      <c r="E2713" s="75" t="str">
        <f t="shared" si="53"/>
        <v>০</v>
      </c>
      <c r="F2713" s="22" t="str">
        <f>"8119457814219"</f>
        <v>8119457814219</v>
      </c>
      <c r="G2713" s="75" t="str">
        <f>"০৫১২"</f>
        <v>০৫১২</v>
      </c>
      <c r="H2713" s="75" t="s">
        <v>329</v>
      </c>
      <c r="I2713" s="75" t="s">
        <v>329</v>
      </c>
      <c r="J2713" s="5"/>
    </row>
    <row r="2714" spans="1:10" x14ac:dyDescent="0.25">
      <c r="A2714" s="39">
        <v>2713</v>
      </c>
      <c r="B2714" s="3" t="s">
        <v>1665</v>
      </c>
      <c r="C2714" s="75" t="s">
        <v>3503</v>
      </c>
      <c r="D2714" s="75" t="s">
        <v>1370</v>
      </c>
      <c r="E2714" s="75" t="str">
        <f t="shared" si="53"/>
        <v>০</v>
      </c>
      <c r="F2714" s="22" t="str">
        <f>"8119457814399"</f>
        <v>8119457814399</v>
      </c>
      <c r="G2714" s="75" t="str">
        <f>"০৫১১"</f>
        <v>০৫১১</v>
      </c>
      <c r="H2714" s="75" t="s">
        <v>319</v>
      </c>
      <c r="I2714" s="75" t="s">
        <v>319</v>
      </c>
      <c r="J2714" s="5"/>
    </row>
    <row r="2715" spans="1:10" x14ac:dyDescent="0.25">
      <c r="A2715" s="39">
        <v>2714</v>
      </c>
      <c r="B2715" s="3" t="s">
        <v>3504</v>
      </c>
      <c r="C2715" s="75" t="s">
        <v>3505</v>
      </c>
      <c r="D2715" s="75" t="s">
        <v>1370</v>
      </c>
      <c r="E2715" s="75" t="str">
        <f t="shared" si="53"/>
        <v>০</v>
      </c>
      <c r="F2715" s="22" t="str">
        <f>"8119457815083"</f>
        <v>8119457815083</v>
      </c>
      <c r="G2715" s="75" t="str">
        <f>"০৫১০"</f>
        <v>০৫১০</v>
      </c>
      <c r="H2715" s="75" t="s">
        <v>319</v>
      </c>
      <c r="I2715" s="75" t="s">
        <v>319</v>
      </c>
      <c r="J2715" s="5"/>
    </row>
    <row r="2716" spans="1:10" x14ac:dyDescent="0.25">
      <c r="A2716" s="39">
        <v>2715</v>
      </c>
      <c r="B2716" s="3" t="s">
        <v>1963</v>
      </c>
      <c r="C2716" s="75" t="s">
        <v>3506</v>
      </c>
      <c r="D2716" s="75" t="s">
        <v>1370</v>
      </c>
      <c r="E2716" s="75" t="str">
        <f>"০১৭৬০৯৯৫৪৮১"</f>
        <v>০১৭৬০৯৯৫৪৮১</v>
      </c>
      <c r="F2716" s="22" t="str">
        <f>"8119457000013"</f>
        <v>8119457000013</v>
      </c>
      <c r="G2716" s="75" t="str">
        <f>"০৫০৯"</f>
        <v>০৫০৯</v>
      </c>
      <c r="H2716" s="75" t="s">
        <v>319</v>
      </c>
      <c r="I2716" s="75" t="s">
        <v>319</v>
      </c>
      <c r="J2716" s="5"/>
    </row>
    <row r="2717" spans="1:10" x14ac:dyDescent="0.25">
      <c r="A2717" s="39">
        <v>2716</v>
      </c>
      <c r="B2717" s="3" t="s">
        <v>3507</v>
      </c>
      <c r="C2717" s="75" t="s">
        <v>3508</v>
      </c>
      <c r="D2717" s="75" t="s">
        <v>1370</v>
      </c>
      <c r="E2717" s="75" t="str">
        <f>"০১৭৬৩০১৫৪৫৬"</f>
        <v>০১৭৬৩০১৫৪৫৬</v>
      </c>
      <c r="F2717" s="22" t="str">
        <f>"8119457814255"</f>
        <v>8119457814255</v>
      </c>
      <c r="G2717" s="75" t="str">
        <f>"০৫০৮"</f>
        <v>০৫০৮</v>
      </c>
      <c r="H2717" s="75" t="s">
        <v>322</v>
      </c>
      <c r="I2717" s="75" t="s">
        <v>322</v>
      </c>
      <c r="J2717" s="5"/>
    </row>
    <row r="2718" spans="1:10" x14ac:dyDescent="0.25">
      <c r="A2718" s="39">
        <v>2717</v>
      </c>
      <c r="B2718" s="3" t="s">
        <v>1578</v>
      </c>
      <c r="C2718" s="75" t="s">
        <v>3509</v>
      </c>
      <c r="D2718" s="75" t="s">
        <v>1370</v>
      </c>
      <c r="E2718" s="75" t="str">
        <f>"০"</f>
        <v>০</v>
      </c>
      <c r="F2718" s="22" t="str">
        <f>"8119457813778"</f>
        <v>8119457813778</v>
      </c>
      <c r="G2718" s="75" t="str">
        <f>"০৫০৭"</f>
        <v>০৫০৭</v>
      </c>
      <c r="H2718" s="75" t="s">
        <v>371</v>
      </c>
      <c r="I2718" s="75" t="s">
        <v>371</v>
      </c>
      <c r="J2718" s="5"/>
    </row>
    <row r="2719" spans="1:10" x14ac:dyDescent="0.25">
      <c r="A2719" s="39">
        <v>2718</v>
      </c>
      <c r="B2719" s="3" t="s">
        <v>3510</v>
      </c>
      <c r="C2719" s="75" t="s">
        <v>3511</v>
      </c>
      <c r="D2719" s="75" t="s">
        <v>1370</v>
      </c>
      <c r="E2719" s="75" t="str">
        <f>"০"</f>
        <v>০</v>
      </c>
      <c r="F2719" s="22" t="str">
        <f>"8119457813686"</f>
        <v>8119457813686</v>
      </c>
      <c r="G2719" s="75" t="str">
        <f>"০৫০৬"</f>
        <v>০৫০৬</v>
      </c>
      <c r="H2719" s="75" t="s">
        <v>319</v>
      </c>
      <c r="I2719" s="75" t="s">
        <v>319</v>
      </c>
      <c r="J2719" s="5"/>
    </row>
    <row r="2720" spans="1:10" x14ac:dyDescent="0.25">
      <c r="A2720" s="39">
        <v>2719</v>
      </c>
      <c r="B2720" s="3" t="s">
        <v>3512</v>
      </c>
      <c r="C2720" s="75" t="s">
        <v>3513</v>
      </c>
      <c r="D2720" s="75" t="s">
        <v>1370</v>
      </c>
      <c r="E2720" s="75" t="str">
        <f>"০"</f>
        <v>০</v>
      </c>
      <c r="F2720" s="22" t="str">
        <f>"8119457813405"</f>
        <v>8119457813405</v>
      </c>
      <c r="G2720" s="75" t="str">
        <f>"০৫০৫"</f>
        <v>০৫০৫</v>
      </c>
      <c r="H2720" s="75" t="s">
        <v>322</v>
      </c>
      <c r="I2720" s="75" t="s">
        <v>322</v>
      </c>
      <c r="J2720" s="5"/>
    </row>
    <row r="2721" spans="1:10" x14ac:dyDescent="0.25">
      <c r="A2721" s="39">
        <v>2720</v>
      </c>
      <c r="B2721" s="3" t="s">
        <v>3514</v>
      </c>
      <c r="C2721" s="75" t="s">
        <v>3515</v>
      </c>
      <c r="D2721" s="75" t="s">
        <v>1370</v>
      </c>
      <c r="E2721" s="75" t="str">
        <f>"০১৭৪৬২২৬৬১৯"</f>
        <v>০১৭৪৬২২৬৬১৯</v>
      </c>
      <c r="F2721" s="22" t="str">
        <f>"8119457814234"</f>
        <v>8119457814234</v>
      </c>
      <c r="G2721" s="75" t="str">
        <f>"০৫০৪"</f>
        <v>০৫০৪</v>
      </c>
      <c r="H2721" s="75" t="s">
        <v>319</v>
      </c>
      <c r="I2721" s="75" t="s">
        <v>319</v>
      </c>
      <c r="J2721" s="5"/>
    </row>
    <row r="2722" spans="1:10" x14ac:dyDescent="0.25">
      <c r="A2722" s="39">
        <v>2721</v>
      </c>
      <c r="B2722" s="3" t="s">
        <v>3516</v>
      </c>
      <c r="C2722" s="75" t="s">
        <v>1591</v>
      </c>
      <c r="D2722" s="75" t="s">
        <v>1370</v>
      </c>
      <c r="E2722" s="75" t="str">
        <f>"০১৮২৯৬৮৫০৭৪"</f>
        <v>০১৮২৯৬৮৫০৭৪</v>
      </c>
      <c r="F2722" s="22" t="str">
        <f>"8119457814429"</f>
        <v>8119457814429</v>
      </c>
      <c r="G2722" s="75" t="str">
        <f>"০৫০৩"</f>
        <v>০৫০৩</v>
      </c>
      <c r="H2722" s="75" t="s">
        <v>319</v>
      </c>
      <c r="I2722" s="75" t="s">
        <v>319</v>
      </c>
      <c r="J2722" s="5"/>
    </row>
    <row r="2723" spans="1:10" x14ac:dyDescent="0.25">
      <c r="A2723" s="39">
        <v>2722</v>
      </c>
      <c r="B2723" s="3" t="s">
        <v>3517</v>
      </c>
      <c r="C2723" s="75" t="s">
        <v>3518</v>
      </c>
      <c r="D2723" s="75" t="s">
        <v>1370</v>
      </c>
      <c r="E2723" s="75" t="str">
        <f>"০১৭৬২৮৪৪০৬১"</f>
        <v>০১৭৬২৮৪৪০৬১</v>
      </c>
      <c r="F2723" s="22" t="str">
        <f>"8119457814195"</f>
        <v>8119457814195</v>
      </c>
      <c r="G2723" s="75" t="str">
        <f>"০৫০২"</f>
        <v>০৫০২</v>
      </c>
      <c r="H2723" s="75" t="s">
        <v>322</v>
      </c>
      <c r="I2723" s="75" t="s">
        <v>322</v>
      </c>
      <c r="J2723" s="5"/>
    </row>
    <row r="2724" spans="1:10" x14ac:dyDescent="0.25">
      <c r="A2724" s="39">
        <v>2723</v>
      </c>
      <c r="B2724" s="3" t="s">
        <v>3519</v>
      </c>
      <c r="C2724" s="75" t="s">
        <v>3520</v>
      </c>
      <c r="D2724" s="75" t="s">
        <v>1370</v>
      </c>
      <c r="E2724" s="75" t="str">
        <f>"০১৭৭৬৮৩৪৬৭৭"</f>
        <v>০১৭৭৬৮৩৪৬৭৭</v>
      </c>
      <c r="F2724" s="22" t="str">
        <f>"8119457814343"</f>
        <v>8119457814343</v>
      </c>
      <c r="G2724" s="75" t="str">
        <f>"০৫০১"</f>
        <v>০৫০১</v>
      </c>
      <c r="H2724" s="75" t="s">
        <v>371</v>
      </c>
      <c r="I2724" s="75" t="s">
        <v>371</v>
      </c>
      <c r="J2724" s="5"/>
    </row>
    <row r="2725" spans="1:10" x14ac:dyDescent="0.25">
      <c r="A2725" s="39">
        <v>2724</v>
      </c>
      <c r="B2725" s="3" t="s">
        <v>3521</v>
      </c>
      <c r="C2725" s="75" t="s">
        <v>3522</v>
      </c>
      <c r="D2725" s="75" t="s">
        <v>1370</v>
      </c>
      <c r="E2725" s="75" t="str">
        <f>"০"</f>
        <v>০</v>
      </c>
      <c r="F2725" s="22" t="str">
        <f>"8119457814354"</f>
        <v>8119457814354</v>
      </c>
      <c r="G2725" s="75" t="str">
        <f>"০৫০০"</f>
        <v>০৫০০</v>
      </c>
      <c r="H2725" s="75" t="s">
        <v>371</v>
      </c>
      <c r="I2725" s="75" t="s">
        <v>371</v>
      </c>
      <c r="J2725" s="5"/>
    </row>
    <row r="2726" spans="1:10" x14ac:dyDescent="0.25">
      <c r="A2726" s="39">
        <v>2725</v>
      </c>
      <c r="B2726" s="3" t="s">
        <v>3523</v>
      </c>
      <c r="C2726" s="75" t="s">
        <v>3524</v>
      </c>
      <c r="D2726" s="75" t="s">
        <v>1370</v>
      </c>
      <c r="E2726" s="75" t="str">
        <f>"০১৭৫০৪০০৫৩৩"</f>
        <v>০১৭৫০৪০০৫৩৩</v>
      </c>
      <c r="F2726" s="22" t="str">
        <f>"8119457814337"</f>
        <v>8119457814337</v>
      </c>
      <c r="G2726" s="75" t="str">
        <f>"০৪৯৯"</f>
        <v>০৪৯৯</v>
      </c>
      <c r="H2726" s="75" t="s">
        <v>315</v>
      </c>
      <c r="I2726" s="75" t="s">
        <v>315</v>
      </c>
      <c r="J2726" s="5"/>
    </row>
    <row r="2727" spans="1:10" x14ac:dyDescent="0.25">
      <c r="A2727" s="39">
        <v>2726</v>
      </c>
      <c r="B2727" s="3" t="s">
        <v>3525</v>
      </c>
      <c r="C2727" s="75" t="s">
        <v>1785</v>
      </c>
      <c r="D2727" s="75" t="s">
        <v>1370</v>
      </c>
      <c r="E2727" s="75" t="str">
        <f>"০১৭৫০৪০০৫৩৩"</f>
        <v>০১৭৫০৪০০৫৩৩</v>
      </c>
      <c r="F2727" s="22" t="str">
        <f>"8119457814357"</f>
        <v>8119457814357</v>
      </c>
      <c r="G2727" s="75" t="str">
        <f>"০৪৯৮"</f>
        <v>০৪৯৮</v>
      </c>
      <c r="H2727" s="75" t="s">
        <v>319</v>
      </c>
      <c r="I2727" s="75" t="s">
        <v>319</v>
      </c>
      <c r="J2727" s="5"/>
    </row>
    <row r="2728" spans="1:10" x14ac:dyDescent="0.25">
      <c r="A2728" s="39">
        <v>2727</v>
      </c>
      <c r="B2728" s="3" t="s">
        <v>3526</v>
      </c>
      <c r="C2728" s="75" t="s">
        <v>3527</v>
      </c>
      <c r="D2728" s="75" t="s">
        <v>1370</v>
      </c>
      <c r="E2728" s="75" t="str">
        <f>"০১৭৪৩৮৬৯৯৪১"</f>
        <v>০১৭৪৩৮৬৯৯৪১</v>
      </c>
      <c r="F2728" s="22" t="str">
        <f>"8119457814331"</f>
        <v>8119457814331</v>
      </c>
      <c r="G2728" s="75" t="str">
        <f>"০৪৯৭"</f>
        <v>০৪৯৭</v>
      </c>
      <c r="H2728" s="75" t="s">
        <v>319</v>
      </c>
      <c r="I2728" s="75" t="s">
        <v>319</v>
      </c>
      <c r="J2728" s="5"/>
    </row>
    <row r="2729" spans="1:10" x14ac:dyDescent="0.25">
      <c r="A2729" s="39">
        <v>2728</v>
      </c>
      <c r="B2729" s="3" t="s">
        <v>3528</v>
      </c>
      <c r="C2729" s="75" t="s">
        <v>3529</v>
      </c>
      <c r="D2729" s="75" t="s">
        <v>1370</v>
      </c>
      <c r="E2729" s="75" t="str">
        <f>"০"</f>
        <v>০</v>
      </c>
      <c r="F2729" s="22" t="str">
        <f>"8119457814220"</f>
        <v>8119457814220</v>
      </c>
      <c r="G2729" s="75" t="str">
        <f>"০৪৯৬"</f>
        <v>০৪৯৬</v>
      </c>
      <c r="H2729" s="75" t="s">
        <v>371</v>
      </c>
      <c r="I2729" s="75" t="s">
        <v>371</v>
      </c>
      <c r="J2729" s="5"/>
    </row>
    <row r="2730" spans="1:10" x14ac:dyDescent="0.25">
      <c r="A2730" s="39">
        <v>2729</v>
      </c>
      <c r="B2730" s="3" t="s">
        <v>3530</v>
      </c>
      <c r="C2730" s="75" t="s">
        <v>3531</v>
      </c>
      <c r="D2730" s="75" t="s">
        <v>1370</v>
      </c>
      <c r="E2730" s="75" t="str">
        <f>"০"</f>
        <v>০</v>
      </c>
      <c r="F2730" s="22" t="str">
        <f>"8119457814237"</f>
        <v>8119457814237</v>
      </c>
      <c r="G2730" s="75" t="str">
        <f>"০৪৯৫"</f>
        <v>০৪৯৫</v>
      </c>
      <c r="H2730" s="75" t="s">
        <v>329</v>
      </c>
      <c r="I2730" s="75" t="s">
        <v>329</v>
      </c>
      <c r="J2730" s="5"/>
    </row>
    <row r="2731" spans="1:10" x14ac:dyDescent="0.25">
      <c r="A2731" s="39">
        <v>2730</v>
      </c>
      <c r="B2731" s="3" t="s">
        <v>3532</v>
      </c>
      <c r="C2731" s="75" t="s">
        <v>3533</v>
      </c>
      <c r="D2731" s="75" t="s">
        <v>1370</v>
      </c>
      <c r="E2731" s="75" t="str">
        <f>"০"</f>
        <v>০</v>
      </c>
      <c r="F2731" s="22" t="str">
        <f>"8119457814327"</f>
        <v>8119457814327</v>
      </c>
      <c r="G2731" s="75" t="str">
        <f>"০৪৯৪"</f>
        <v>০৪৯৪</v>
      </c>
      <c r="H2731" s="75" t="s">
        <v>322</v>
      </c>
      <c r="I2731" s="75" t="s">
        <v>322</v>
      </c>
      <c r="J2731" s="5"/>
    </row>
    <row r="2732" spans="1:10" x14ac:dyDescent="0.25">
      <c r="A2732" s="39">
        <v>2731</v>
      </c>
      <c r="B2732" s="3" t="s">
        <v>3534</v>
      </c>
      <c r="C2732" s="75" t="s">
        <v>3535</v>
      </c>
      <c r="D2732" s="75" t="s">
        <v>1370</v>
      </c>
      <c r="E2732" s="75" t="str">
        <f>"০১৭৫০৮৬২৭১৮"</f>
        <v>০১৭৫০৮৬২৭১৮</v>
      </c>
      <c r="F2732" s="22" t="str">
        <f>"8119457813448"</f>
        <v>8119457813448</v>
      </c>
      <c r="G2732" s="75" t="str">
        <f>"০৪৯৩"</f>
        <v>০৪৯৩</v>
      </c>
      <c r="H2732" s="75" t="s">
        <v>319</v>
      </c>
      <c r="I2732" s="75" t="s">
        <v>319</v>
      </c>
      <c r="J2732" s="5"/>
    </row>
    <row r="2733" spans="1:10" x14ac:dyDescent="0.25">
      <c r="A2733" s="39">
        <v>2732</v>
      </c>
      <c r="B2733" s="3" t="s">
        <v>3536</v>
      </c>
      <c r="C2733" s="75" t="s">
        <v>3537</v>
      </c>
      <c r="D2733" s="75" t="s">
        <v>1370</v>
      </c>
      <c r="E2733" s="75" t="str">
        <f>"০১৭৯১৭৬৮৯৩২"</f>
        <v>০১৭৯১৭৬৮৯৩২</v>
      </c>
      <c r="F2733" s="22" t="str">
        <f>"8119457814758"</f>
        <v>8119457814758</v>
      </c>
      <c r="G2733" s="75" t="str">
        <f>"০৪৯২"</f>
        <v>০৪৯২</v>
      </c>
      <c r="H2733" s="75" t="s">
        <v>330</v>
      </c>
      <c r="I2733" s="75" t="s">
        <v>330</v>
      </c>
      <c r="J2733" s="5"/>
    </row>
    <row r="2734" spans="1:10" x14ac:dyDescent="0.25">
      <c r="A2734" s="39">
        <v>2733</v>
      </c>
      <c r="B2734" s="3" t="s">
        <v>3538</v>
      </c>
      <c r="C2734" s="75" t="s">
        <v>3539</v>
      </c>
      <c r="D2734" s="75" t="s">
        <v>1370</v>
      </c>
      <c r="E2734" s="75" t="str">
        <f>"০১৭৪৪৩৫৭২৯২"</f>
        <v>০১৭৪৪৩৫৭২৯২</v>
      </c>
      <c r="F2734" s="22" t="str">
        <f>"8119457814687"</f>
        <v>8119457814687</v>
      </c>
      <c r="G2734" s="75" t="str">
        <f>"০৪৯১"</f>
        <v>০৪৯১</v>
      </c>
      <c r="H2734" s="75" t="s">
        <v>329</v>
      </c>
      <c r="I2734" s="75" t="s">
        <v>329</v>
      </c>
      <c r="J2734" s="5"/>
    </row>
    <row r="2735" spans="1:10" x14ac:dyDescent="0.25">
      <c r="A2735" s="39">
        <v>2734</v>
      </c>
      <c r="B2735" s="3" t="s">
        <v>3540</v>
      </c>
      <c r="C2735" s="75" t="s">
        <v>2443</v>
      </c>
      <c r="D2735" s="75" t="s">
        <v>1370</v>
      </c>
      <c r="E2735" s="75" t="str">
        <f>"০১৭৫৫২৭০৭০৬"</f>
        <v>০১৭৫৫২৭০৭০৬</v>
      </c>
      <c r="F2735" s="22" t="str">
        <f>"8119457813811"</f>
        <v>8119457813811</v>
      </c>
      <c r="G2735" s="75" t="str">
        <f>"০৪৯০"</f>
        <v>০৪৯০</v>
      </c>
      <c r="H2735" s="75" t="s">
        <v>322</v>
      </c>
      <c r="I2735" s="75" t="s">
        <v>322</v>
      </c>
      <c r="J2735" s="5"/>
    </row>
    <row r="2736" spans="1:10" x14ac:dyDescent="0.25">
      <c r="A2736" s="39">
        <v>2735</v>
      </c>
      <c r="B2736" s="3" t="s">
        <v>3541</v>
      </c>
      <c r="C2736" s="75" t="s">
        <v>3542</v>
      </c>
      <c r="D2736" s="75" t="s">
        <v>1370</v>
      </c>
      <c r="E2736" s="75" t="str">
        <f>"০১৭৫৫১৭৯৩৪২"</f>
        <v>০১৭৫৫১৭৯৩৪২</v>
      </c>
      <c r="F2736" s="22" t="str">
        <f>"8119457814567"</f>
        <v>8119457814567</v>
      </c>
      <c r="G2736" s="75" t="str">
        <f>"০৪৮৯"</f>
        <v>০৪৮৯</v>
      </c>
      <c r="H2736" s="75" t="s">
        <v>319</v>
      </c>
      <c r="I2736" s="75" t="s">
        <v>319</v>
      </c>
      <c r="J2736" s="5"/>
    </row>
    <row r="2737" spans="1:10" x14ac:dyDescent="0.25">
      <c r="A2737" s="39">
        <v>2736</v>
      </c>
      <c r="B2737" s="3" t="s">
        <v>1563</v>
      </c>
      <c r="C2737" s="75" t="s">
        <v>3543</v>
      </c>
      <c r="D2737" s="75" t="s">
        <v>1370</v>
      </c>
      <c r="E2737" s="75" t="str">
        <f>"০১৭২৮১৭২৫৩৪"</f>
        <v>০১৭২৮১৭২৫৩৪</v>
      </c>
      <c r="F2737" s="22" t="str">
        <f>"8119457814760"</f>
        <v>8119457814760</v>
      </c>
      <c r="G2737" s="75" t="str">
        <f>"০৪৮৮"</f>
        <v>০৪৮৮</v>
      </c>
      <c r="H2737" s="75" t="s">
        <v>456</v>
      </c>
      <c r="I2737" s="75" t="s">
        <v>456</v>
      </c>
      <c r="J2737" s="5"/>
    </row>
    <row r="2738" spans="1:10" x14ac:dyDescent="0.25">
      <c r="A2738" s="39">
        <v>2737</v>
      </c>
      <c r="B2738" s="3" t="s">
        <v>3544</v>
      </c>
      <c r="C2738" s="75" t="s">
        <v>3545</v>
      </c>
      <c r="D2738" s="75" t="s">
        <v>1370</v>
      </c>
      <c r="E2738" s="75" t="str">
        <f>"০"</f>
        <v>০</v>
      </c>
      <c r="F2738" s="22" t="str">
        <f>"8119457814485"</f>
        <v>8119457814485</v>
      </c>
      <c r="G2738" s="75" t="str">
        <f>"০৪৮৭"</f>
        <v>০৪৮৭</v>
      </c>
      <c r="H2738" s="75" t="s">
        <v>1394</v>
      </c>
      <c r="I2738" s="75" t="s">
        <v>1394</v>
      </c>
      <c r="J2738" s="5"/>
    </row>
    <row r="2739" spans="1:10" x14ac:dyDescent="0.25">
      <c r="A2739" s="39">
        <v>2738</v>
      </c>
      <c r="B2739" s="3" t="s">
        <v>3546</v>
      </c>
      <c r="C2739" s="75" t="s">
        <v>3547</v>
      </c>
      <c r="D2739" s="75" t="s">
        <v>1370</v>
      </c>
      <c r="E2739" s="75" t="str">
        <f>"০১৯৬৩৩৬১৮৪৩"</f>
        <v>০১৯৬৩৩৬১৮৪৩</v>
      </c>
      <c r="F2739" s="22" t="str">
        <f>"8119457814743"</f>
        <v>8119457814743</v>
      </c>
      <c r="G2739" s="75" t="str">
        <f>"০৪৮৬"</f>
        <v>০৪৮৬</v>
      </c>
      <c r="H2739" s="75" t="s">
        <v>319</v>
      </c>
      <c r="I2739" s="75" t="s">
        <v>319</v>
      </c>
      <c r="J2739" s="5"/>
    </row>
    <row r="2740" spans="1:10" x14ac:dyDescent="0.25">
      <c r="A2740" s="39">
        <v>2739</v>
      </c>
      <c r="B2740" s="3" t="s">
        <v>3548</v>
      </c>
      <c r="C2740" s="75" t="s">
        <v>3549</v>
      </c>
      <c r="D2740" s="75" t="s">
        <v>1370</v>
      </c>
      <c r="E2740" s="75" t="str">
        <f>"০১৭৬৮৮১৭৪৭২"</f>
        <v>০১৭৬৮৮১৭৪৭২</v>
      </c>
      <c r="F2740" s="22" t="str">
        <f>"8119457814552"</f>
        <v>8119457814552</v>
      </c>
      <c r="G2740" s="75" t="str">
        <f>"০৪৮৫"</f>
        <v>০৪৮৫</v>
      </c>
      <c r="H2740" s="75" t="s">
        <v>456</v>
      </c>
      <c r="I2740" s="75" t="s">
        <v>456</v>
      </c>
      <c r="J2740" s="5"/>
    </row>
    <row r="2741" spans="1:10" x14ac:dyDescent="0.25">
      <c r="A2741" s="39">
        <v>2740</v>
      </c>
      <c r="B2741" s="3" t="s">
        <v>3550</v>
      </c>
      <c r="C2741" s="75" t="s">
        <v>3551</v>
      </c>
      <c r="D2741" s="75" t="s">
        <v>1370</v>
      </c>
      <c r="E2741" s="75" t="str">
        <f>"০১৭২৬১০৭৪৩৯"</f>
        <v>০১৭২৬১০৭৪৩৯</v>
      </c>
      <c r="F2741" s="22" t="str">
        <f>"8119457814393"</f>
        <v>8119457814393</v>
      </c>
      <c r="G2741" s="75" t="str">
        <f>"০৪৮৪"</f>
        <v>০৪৮৪</v>
      </c>
      <c r="H2741" s="75" t="s">
        <v>330</v>
      </c>
      <c r="I2741" s="75" t="s">
        <v>330</v>
      </c>
      <c r="J2741" s="5"/>
    </row>
    <row r="2742" spans="1:10" x14ac:dyDescent="0.25">
      <c r="A2742" s="39">
        <v>2741</v>
      </c>
      <c r="B2742" s="3" t="s">
        <v>3552</v>
      </c>
      <c r="C2742" s="75" t="s">
        <v>3553</v>
      </c>
      <c r="D2742" s="75" t="s">
        <v>1370</v>
      </c>
      <c r="E2742" s="75" t="str">
        <f>"০১৭৩৭৭৩৯০৫০"</f>
        <v>০১৭৩৭৭৩৯০৫০</v>
      </c>
      <c r="F2742" s="22" t="str">
        <f>"8119457814535"</f>
        <v>8119457814535</v>
      </c>
      <c r="G2742" s="75" t="str">
        <f>"০৪৮৩"</f>
        <v>০৪৮৩</v>
      </c>
      <c r="H2742" s="75" t="s">
        <v>319</v>
      </c>
      <c r="I2742" s="75" t="s">
        <v>319</v>
      </c>
      <c r="J2742" s="5"/>
    </row>
    <row r="2743" spans="1:10" x14ac:dyDescent="0.25">
      <c r="A2743" s="39">
        <v>2742</v>
      </c>
      <c r="B2743" s="3" t="s">
        <v>3554</v>
      </c>
      <c r="C2743" s="75" t="s">
        <v>3555</v>
      </c>
      <c r="D2743" s="75" t="s">
        <v>1370</v>
      </c>
      <c r="E2743" s="75" t="str">
        <f>"০"</f>
        <v>০</v>
      </c>
      <c r="F2743" s="22" t="str">
        <f>"8119457814183"</f>
        <v>8119457814183</v>
      </c>
      <c r="G2743" s="75" t="str">
        <f>"০৪৮২"</f>
        <v>০৪৮২</v>
      </c>
      <c r="H2743" s="75" t="s">
        <v>322</v>
      </c>
      <c r="I2743" s="75" t="s">
        <v>322</v>
      </c>
      <c r="J2743" s="5"/>
    </row>
    <row r="2744" spans="1:10" x14ac:dyDescent="0.25">
      <c r="A2744" s="39">
        <v>2743</v>
      </c>
      <c r="B2744" s="3" t="s">
        <v>1881</v>
      </c>
      <c r="C2744" s="75" t="s">
        <v>1690</v>
      </c>
      <c r="D2744" s="75" t="s">
        <v>1370</v>
      </c>
      <c r="E2744" s="75" t="str">
        <f>"০১৭৩৫৩৩২৫৭৩"</f>
        <v>০১৭৩৫৩৩২৫৭৩</v>
      </c>
      <c r="F2744" s="22" t="str">
        <f>"8119457814323"</f>
        <v>8119457814323</v>
      </c>
      <c r="G2744" s="75" t="str">
        <f>"০৪৮১"</f>
        <v>০৪৮১</v>
      </c>
      <c r="H2744" s="75" t="s">
        <v>364</v>
      </c>
      <c r="I2744" s="75" t="s">
        <v>364</v>
      </c>
      <c r="J2744" s="5"/>
    </row>
    <row r="2745" spans="1:10" x14ac:dyDescent="0.25">
      <c r="A2745" s="39">
        <v>2744</v>
      </c>
      <c r="B2745" s="3" t="s">
        <v>3556</v>
      </c>
      <c r="C2745" s="75" t="s">
        <v>3557</v>
      </c>
      <c r="D2745" s="75" t="s">
        <v>1370</v>
      </c>
      <c r="E2745" s="75" t="str">
        <f>"০১৭৪১০৬৮৮৩৩"</f>
        <v>০১৭৪১০৬৮৮৩৩</v>
      </c>
      <c r="F2745" s="22" t="str">
        <f>"8119457000076"</f>
        <v>8119457000076</v>
      </c>
      <c r="G2745" s="75" t="str">
        <f>"০৪৮০"</f>
        <v>০৪৮০</v>
      </c>
      <c r="H2745" s="75" t="s">
        <v>319</v>
      </c>
      <c r="I2745" s="75" t="s">
        <v>319</v>
      </c>
      <c r="J2745" s="5"/>
    </row>
    <row r="2746" spans="1:10" x14ac:dyDescent="0.25">
      <c r="A2746" s="39">
        <v>2745</v>
      </c>
      <c r="B2746" s="3" t="s">
        <v>3558</v>
      </c>
      <c r="C2746" s="75" t="s">
        <v>3559</v>
      </c>
      <c r="D2746" s="75" t="s">
        <v>1370</v>
      </c>
      <c r="E2746" s="75" t="str">
        <f>"০"</f>
        <v>০</v>
      </c>
      <c r="F2746" s="22" t="str">
        <f>"8119457000288"</f>
        <v>8119457000288</v>
      </c>
      <c r="G2746" s="75" t="str">
        <f>"০৪৭৯"</f>
        <v>০৪৭৯</v>
      </c>
      <c r="H2746" s="75" t="s">
        <v>329</v>
      </c>
      <c r="I2746" s="75" t="s">
        <v>329</v>
      </c>
      <c r="J2746" s="5"/>
    </row>
    <row r="2747" spans="1:10" x14ac:dyDescent="0.25">
      <c r="A2747" s="39">
        <v>2746</v>
      </c>
      <c r="B2747" s="3" t="s">
        <v>3560</v>
      </c>
      <c r="C2747" s="75" t="s">
        <v>3561</v>
      </c>
      <c r="D2747" s="75" t="s">
        <v>1370</v>
      </c>
      <c r="E2747" s="75" t="str">
        <f>"০১৭৭৪৩৪০২০১"</f>
        <v>০১৭৭৪৩৪০২০১</v>
      </c>
      <c r="F2747" s="22" t="str">
        <f>"8119457815000"</f>
        <v>8119457815000</v>
      </c>
      <c r="G2747" s="75" t="str">
        <f>"০৪৭৮"</f>
        <v>০৪৭৮</v>
      </c>
      <c r="H2747" s="75" t="s">
        <v>330</v>
      </c>
      <c r="I2747" s="75" t="s">
        <v>330</v>
      </c>
      <c r="J2747" s="5"/>
    </row>
    <row r="2748" spans="1:10" x14ac:dyDescent="0.25">
      <c r="A2748" s="39">
        <v>2747</v>
      </c>
      <c r="B2748" s="3" t="s">
        <v>3562</v>
      </c>
      <c r="C2748" s="75" t="s">
        <v>3563</v>
      </c>
      <c r="D2748" s="75" t="s">
        <v>1370</v>
      </c>
      <c r="E2748" s="75" t="str">
        <f>"০১৭৩৫৩৫১৯১৮"</f>
        <v>০১৭৩৫৩৫১৯১৮</v>
      </c>
      <c r="F2748" s="22" t="str">
        <f>"8119457814981"</f>
        <v>8119457814981</v>
      </c>
      <c r="G2748" s="75" t="str">
        <f>"০৪৭৭"</f>
        <v>০৪৭৭</v>
      </c>
      <c r="H2748" s="75" t="s">
        <v>319</v>
      </c>
      <c r="I2748" s="75" t="s">
        <v>319</v>
      </c>
      <c r="J2748" s="5"/>
    </row>
    <row r="2749" spans="1:10" x14ac:dyDescent="0.25">
      <c r="A2749" s="39">
        <v>2748</v>
      </c>
      <c r="B2749" s="3" t="s">
        <v>3564</v>
      </c>
      <c r="C2749" s="75" t="s">
        <v>3565</v>
      </c>
      <c r="D2749" s="75" t="s">
        <v>1370</v>
      </c>
      <c r="E2749" s="75" t="str">
        <f>"০১৭৩৮৫৪৪৪৩১"</f>
        <v>০১৭৩৮৫৪৪৪৩১</v>
      </c>
      <c r="F2749" s="22" t="str">
        <f>"8119457814594"</f>
        <v>8119457814594</v>
      </c>
      <c r="G2749" s="75" t="str">
        <f>"০৪৭৬"</f>
        <v>০৪৭৬</v>
      </c>
      <c r="H2749" s="75" t="s">
        <v>319</v>
      </c>
      <c r="I2749" s="75" t="s">
        <v>319</v>
      </c>
      <c r="J2749" s="5"/>
    </row>
    <row r="2750" spans="1:10" x14ac:dyDescent="0.25">
      <c r="A2750" s="39">
        <v>2749</v>
      </c>
      <c r="B2750" s="3" t="s">
        <v>3412</v>
      </c>
      <c r="C2750" s="75" t="s">
        <v>3566</v>
      </c>
      <c r="D2750" s="75" t="s">
        <v>1370</v>
      </c>
      <c r="E2750" s="75" t="str">
        <f>"০১৭৫২০০১০৬০"</f>
        <v>০১৭৫২০০১০৬০</v>
      </c>
      <c r="F2750" s="22" t="str">
        <f>"8119457814995"</f>
        <v>8119457814995</v>
      </c>
      <c r="G2750" s="75" t="str">
        <f>"০৪৭৫"</f>
        <v>০৪৭৫</v>
      </c>
      <c r="H2750" s="75" t="s">
        <v>330</v>
      </c>
      <c r="I2750" s="75" t="s">
        <v>330</v>
      </c>
      <c r="J2750" s="5"/>
    </row>
    <row r="2751" spans="1:10" x14ac:dyDescent="0.25">
      <c r="A2751" s="39">
        <v>2750</v>
      </c>
      <c r="B2751" s="3" t="s">
        <v>3567</v>
      </c>
      <c r="C2751" s="75" t="s">
        <v>3568</v>
      </c>
      <c r="D2751" s="75" t="s">
        <v>1370</v>
      </c>
      <c r="E2751" s="75" t="str">
        <f>"০১৭৪১৩৪৯২৬৬"</f>
        <v>০১৭৪১৩৪৯২৬৬</v>
      </c>
      <c r="F2751" s="22" t="str">
        <f>"8119457814439"</f>
        <v>8119457814439</v>
      </c>
      <c r="G2751" s="75" t="str">
        <f>"০৪৭৪"</f>
        <v>০৪৭৪</v>
      </c>
      <c r="H2751" s="75" t="s">
        <v>319</v>
      </c>
      <c r="I2751" s="75" t="s">
        <v>319</v>
      </c>
      <c r="J2751" s="5"/>
    </row>
    <row r="2752" spans="1:10" x14ac:dyDescent="0.25">
      <c r="A2752" s="39">
        <v>2751</v>
      </c>
      <c r="B2752" s="3" t="s">
        <v>3569</v>
      </c>
      <c r="C2752" s="75" t="s">
        <v>3570</v>
      </c>
      <c r="D2752" s="75" t="s">
        <v>1370</v>
      </c>
      <c r="E2752" s="75" t="str">
        <f>"০"</f>
        <v>০</v>
      </c>
      <c r="F2752" s="22" t="str">
        <f>"8119457815008"</f>
        <v>8119457815008</v>
      </c>
      <c r="G2752" s="75" t="str">
        <f>"০৪৭৩"</f>
        <v>০৪৭৩</v>
      </c>
      <c r="H2752" s="75" t="s">
        <v>329</v>
      </c>
      <c r="I2752" s="75" t="s">
        <v>329</v>
      </c>
      <c r="J2752" s="5"/>
    </row>
    <row r="2753" spans="1:10" x14ac:dyDescent="0.25">
      <c r="A2753" s="39">
        <v>2752</v>
      </c>
      <c r="B2753" s="3" t="s">
        <v>3571</v>
      </c>
      <c r="C2753" s="75" t="s">
        <v>3572</v>
      </c>
      <c r="D2753" s="75" t="s">
        <v>1370</v>
      </c>
      <c r="E2753" s="75" t="str">
        <f>"০১৭৮১০৫৬৬৩৩"</f>
        <v>০১৭৮১০৫৬৬৩৩</v>
      </c>
      <c r="F2753" s="22" t="str">
        <f>"8119457814430"</f>
        <v>8119457814430</v>
      </c>
      <c r="G2753" s="75" t="str">
        <f>"০৪৭২"</f>
        <v>০৪৭২</v>
      </c>
      <c r="H2753" s="75" t="s">
        <v>315</v>
      </c>
      <c r="I2753" s="75" t="s">
        <v>315</v>
      </c>
      <c r="J2753" s="5"/>
    </row>
    <row r="2754" spans="1:10" x14ac:dyDescent="0.25">
      <c r="A2754" s="39">
        <v>2753</v>
      </c>
      <c r="B2754" s="3" t="s">
        <v>3573</v>
      </c>
      <c r="C2754" s="75" t="s">
        <v>3574</v>
      </c>
      <c r="D2754" s="75" t="s">
        <v>1370</v>
      </c>
      <c r="E2754" s="75" t="str">
        <f>"০১৭৪০৯৫৮০০৩"</f>
        <v>০১৭৪০৯৫৮০০৩</v>
      </c>
      <c r="F2754" s="22" t="str">
        <f>"8119457814596"</f>
        <v>8119457814596</v>
      </c>
      <c r="G2754" s="75" t="str">
        <f>"০৪৭১"</f>
        <v>০৪৭১</v>
      </c>
      <c r="H2754" s="75" t="s">
        <v>322</v>
      </c>
      <c r="I2754" s="75" t="s">
        <v>322</v>
      </c>
      <c r="J2754" s="5"/>
    </row>
    <row r="2755" spans="1:10" x14ac:dyDescent="0.25">
      <c r="A2755" s="39">
        <v>2754</v>
      </c>
      <c r="B2755" s="3" t="s">
        <v>3575</v>
      </c>
      <c r="C2755" s="75" t="s">
        <v>3576</v>
      </c>
      <c r="D2755" s="75" t="s">
        <v>1370</v>
      </c>
      <c r="E2755" s="75" t="str">
        <f>"০১৭৩৮৮৯৪০৯৩"</f>
        <v>০১৭৩৮৮৯৪০৯৩</v>
      </c>
      <c r="F2755" s="22" t="str">
        <f>"8119457814660"</f>
        <v>8119457814660</v>
      </c>
      <c r="G2755" s="75" t="str">
        <f>"০৪৭০"</f>
        <v>০৪৭০</v>
      </c>
      <c r="H2755" s="75" t="s">
        <v>319</v>
      </c>
      <c r="I2755" s="75" t="s">
        <v>319</v>
      </c>
      <c r="J2755" s="5"/>
    </row>
    <row r="2756" spans="1:10" x14ac:dyDescent="0.25">
      <c r="A2756" s="39">
        <v>2755</v>
      </c>
      <c r="B2756" s="3" t="s">
        <v>3577</v>
      </c>
      <c r="C2756" s="75" t="s">
        <v>3578</v>
      </c>
      <c r="D2756" s="75" t="s">
        <v>1370</v>
      </c>
      <c r="E2756" s="75" t="str">
        <f>"০১৮৫১০৬৮১৩৬"</f>
        <v>০১৮৫১০৬৮১৩৬</v>
      </c>
      <c r="F2756" s="22" t="str">
        <f>"8119457814636"</f>
        <v>8119457814636</v>
      </c>
      <c r="G2756" s="75" t="str">
        <f>"০৪৬৯"</f>
        <v>০৪৬৯</v>
      </c>
      <c r="H2756" s="75" t="s">
        <v>319</v>
      </c>
      <c r="I2756" s="75" t="s">
        <v>319</v>
      </c>
      <c r="J2756" s="5"/>
    </row>
    <row r="2757" spans="1:10" x14ac:dyDescent="0.25">
      <c r="A2757" s="39">
        <v>2756</v>
      </c>
      <c r="B2757" s="3" t="s">
        <v>3579</v>
      </c>
      <c r="C2757" s="75" t="s">
        <v>3580</v>
      </c>
      <c r="D2757" s="75" t="s">
        <v>1370</v>
      </c>
      <c r="E2757" s="75" t="str">
        <f>"০"</f>
        <v>০</v>
      </c>
      <c r="F2757" s="22" t="str">
        <f>"8119457814298"</f>
        <v>8119457814298</v>
      </c>
      <c r="G2757" s="75" t="str">
        <f>"০৪৬৮"</f>
        <v>০৪৬৮</v>
      </c>
      <c r="H2757" s="75" t="s">
        <v>319</v>
      </c>
      <c r="I2757" s="75" t="s">
        <v>319</v>
      </c>
      <c r="J2757" s="5"/>
    </row>
    <row r="2758" spans="1:10" x14ac:dyDescent="0.25">
      <c r="A2758" s="39">
        <v>2757</v>
      </c>
      <c r="B2758" s="3" t="s">
        <v>3581</v>
      </c>
      <c r="C2758" s="75" t="s">
        <v>3580</v>
      </c>
      <c r="D2758" s="75" t="s">
        <v>1370</v>
      </c>
      <c r="E2758" s="75" t="str">
        <f>"০"</f>
        <v>০</v>
      </c>
      <c r="F2758" s="22" t="str">
        <f>"8119457814302"</f>
        <v>8119457814302</v>
      </c>
      <c r="G2758" s="75" t="str">
        <f>"০৪৬৭"</f>
        <v>০৪৬৭</v>
      </c>
      <c r="H2758" s="75" t="s">
        <v>456</v>
      </c>
      <c r="I2758" s="75" t="s">
        <v>456</v>
      </c>
      <c r="J2758" s="5"/>
    </row>
    <row r="2759" spans="1:10" x14ac:dyDescent="0.25">
      <c r="A2759" s="39">
        <v>2758</v>
      </c>
      <c r="B2759" s="3" t="s">
        <v>3582</v>
      </c>
      <c r="C2759" s="75" t="s">
        <v>3583</v>
      </c>
      <c r="D2759" s="75" t="s">
        <v>1370</v>
      </c>
      <c r="E2759" s="75" t="str">
        <f>"০"</f>
        <v>০</v>
      </c>
      <c r="F2759" s="22" t="str">
        <f>"8119457814382"</f>
        <v>8119457814382</v>
      </c>
      <c r="G2759" s="75" t="str">
        <f>"০৪৬৬"</f>
        <v>০৪৬৬</v>
      </c>
      <c r="H2759" s="75" t="s">
        <v>319</v>
      </c>
      <c r="I2759" s="75" t="s">
        <v>319</v>
      </c>
      <c r="J2759" s="5"/>
    </row>
    <row r="2760" spans="1:10" x14ac:dyDescent="0.25">
      <c r="A2760" s="39">
        <v>2759</v>
      </c>
      <c r="B2760" s="3" t="s">
        <v>3584</v>
      </c>
      <c r="C2760" s="75" t="s">
        <v>3580</v>
      </c>
      <c r="D2760" s="75" t="s">
        <v>1370</v>
      </c>
      <c r="E2760" s="75" t="str">
        <f>"০"</f>
        <v>০</v>
      </c>
      <c r="F2760" s="22" t="str">
        <f>"8119457813400"</f>
        <v>8119457813400</v>
      </c>
      <c r="G2760" s="75" t="str">
        <f>"০৪৬৫"</f>
        <v>০৪৬৫</v>
      </c>
      <c r="H2760" s="75" t="s">
        <v>319</v>
      </c>
      <c r="I2760" s="75" t="s">
        <v>319</v>
      </c>
      <c r="J2760" s="5"/>
    </row>
    <row r="2761" spans="1:10" x14ac:dyDescent="0.25">
      <c r="A2761" s="39">
        <v>2760</v>
      </c>
      <c r="B2761" s="3" t="s">
        <v>3585</v>
      </c>
      <c r="C2761" s="75" t="s">
        <v>3586</v>
      </c>
      <c r="D2761" s="75" t="s">
        <v>1370</v>
      </c>
      <c r="E2761" s="75" t="str">
        <f>"০১৭৩৫৩৫১৯১৮"</f>
        <v>০১৭৩৫৩৫১৯১৮</v>
      </c>
      <c r="F2761" s="22" t="str">
        <f>"8119457000265"</f>
        <v>8119457000265</v>
      </c>
      <c r="G2761" s="75" t="str">
        <f>"০৪৬৪"</f>
        <v>০৪৬৪</v>
      </c>
      <c r="H2761" s="75" t="s">
        <v>1394</v>
      </c>
      <c r="I2761" s="75" t="s">
        <v>1394</v>
      </c>
      <c r="J2761" s="5"/>
    </row>
    <row r="2762" spans="1:10" x14ac:dyDescent="0.25">
      <c r="A2762" s="39">
        <v>2761</v>
      </c>
      <c r="B2762" s="3" t="s">
        <v>3587</v>
      </c>
      <c r="C2762" s="75" t="s">
        <v>3576</v>
      </c>
      <c r="D2762" s="75" t="s">
        <v>1370</v>
      </c>
      <c r="E2762" s="75" t="str">
        <f>"০১৭২৩১০৫৫২৩"</f>
        <v>০১৭২৩১০৫৫২৩</v>
      </c>
      <c r="F2762" s="22" t="str">
        <f>"8119457815028"</f>
        <v>8119457815028</v>
      </c>
      <c r="G2762" s="75" t="str">
        <f>"০৪৬৩"</f>
        <v>০৪৬৩</v>
      </c>
      <c r="H2762" s="75" t="s">
        <v>319</v>
      </c>
      <c r="I2762" s="75" t="s">
        <v>319</v>
      </c>
      <c r="J2762" s="5"/>
    </row>
    <row r="2763" spans="1:10" x14ac:dyDescent="0.25">
      <c r="A2763" s="39">
        <v>2762</v>
      </c>
      <c r="B2763" s="3" t="s">
        <v>3588</v>
      </c>
      <c r="C2763" s="75" t="s">
        <v>3589</v>
      </c>
      <c r="D2763" s="75" t="s">
        <v>1370</v>
      </c>
      <c r="E2763" s="75" t="str">
        <f>"০১৭৩৭০২০৫৪৯"</f>
        <v>০১৭৩৭০২০৫৪৯</v>
      </c>
      <c r="F2763" s="22" t="str">
        <f>"8119457815027"</f>
        <v>8119457815027</v>
      </c>
      <c r="G2763" s="75" t="str">
        <f>"০৪৬২"</f>
        <v>০৪৬২</v>
      </c>
      <c r="H2763" s="75" t="s">
        <v>319</v>
      </c>
      <c r="I2763" s="75" t="s">
        <v>319</v>
      </c>
      <c r="J2763" s="5"/>
    </row>
    <row r="2764" spans="1:10" x14ac:dyDescent="0.25">
      <c r="A2764" s="39">
        <v>2763</v>
      </c>
      <c r="B2764" s="3" t="s">
        <v>3590</v>
      </c>
      <c r="C2764" s="75" t="s">
        <v>3586</v>
      </c>
      <c r="D2764" s="75" t="s">
        <v>1370</v>
      </c>
      <c r="E2764" s="75" t="str">
        <f>"০১৭৫২৫৮৫৭১০"</f>
        <v>০১৭৫২৫৮৫৭১০</v>
      </c>
      <c r="F2764" s="22" t="str">
        <f>"8119457815331"</f>
        <v>8119457815331</v>
      </c>
      <c r="G2764" s="75" t="str">
        <f>"০৪৬১"</f>
        <v>০৪৬১</v>
      </c>
      <c r="H2764" s="75" t="s">
        <v>456</v>
      </c>
      <c r="I2764" s="75" t="s">
        <v>456</v>
      </c>
      <c r="J2764" s="5"/>
    </row>
    <row r="2765" spans="1:10" x14ac:dyDescent="0.25">
      <c r="A2765" s="39">
        <v>2764</v>
      </c>
      <c r="B2765" s="3" t="s">
        <v>3591</v>
      </c>
      <c r="C2765" s="75" t="s">
        <v>3562</v>
      </c>
      <c r="D2765" s="75" t="s">
        <v>1370</v>
      </c>
      <c r="E2765" s="75" t="str">
        <f>"০"</f>
        <v>০</v>
      </c>
      <c r="F2765" s="22" t="str">
        <f>"8119457814982"</f>
        <v>8119457814982</v>
      </c>
      <c r="G2765" s="75" t="str">
        <f>"০৪৬০"</f>
        <v>০৪৬০</v>
      </c>
      <c r="H2765" s="75" t="s">
        <v>322</v>
      </c>
      <c r="I2765" s="75" t="s">
        <v>322</v>
      </c>
      <c r="J2765" s="5"/>
    </row>
    <row r="2766" spans="1:10" x14ac:dyDescent="0.25">
      <c r="A2766" s="39">
        <v>2765</v>
      </c>
      <c r="B2766" s="11" t="s">
        <v>5058</v>
      </c>
      <c r="C2766" s="75" t="s">
        <v>3592</v>
      </c>
      <c r="D2766" s="75" t="s">
        <v>1370</v>
      </c>
      <c r="E2766" s="75" t="str">
        <f>"০১৭২৪২৬৭১৪৯"</f>
        <v>০১৭২৪২৬৭১৪৯</v>
      </c>
      <c r="F2766" s="22" t="str">
        <f>"8119457814627"</f>
        <v>8119457814627</v>
      </c>
      <c r="G2766" s="75" t="str">
        <f>"০৪৫৯"</f>
        <v>০৪৫৯</v>
      </c>
      <c r="H2766" s="75" t="s">
        <v>1434</v>
      </c>
      <c r="I2766" s="75" t="s">
        <v>1434</v>
      </c>
      <c r="J2766" s="5"/>
    </row>
    <row r="2767" spans="1:10" x14ac:dyDescent="0.25">
      <c r="A2767" s="39">
        <v>2766</v>
      </c>
      <c r="B2767" s="3" t="s">
        <v>3593</v>
      </c>
      <c r="C2767" s="75" t="s">
        <v>3594</v>
      </c>
      <c r="D2767" s="75" t="s">
        <v>1370</v>
      </c>
      <c r="E2767" s="75" t="str">
        <f>"০"</f>
        <v>০</v>
      </c>
      <c r="F2767" s="22" t="str">
        <f>"8119457814983"</f>
        <v>8119457814983</v>
      </c>
      <c r="G2767" s="75" t="str">
        <f>"০৪৫৮"</f>
        <v>০৪৫৮</v>
      </c>
      <c r="H2767" s="75" t="s">
        <v>319</v>
      </c>
      <c r="I2767" s="75" t="s">
        <v>319</v>
      </c>
      <c r="J2767" s="5"/>
    </row>
    <row r="2768" spans="1:10" x14ac:dyDescent="0.25">
      <c r="A2768" s="39">
        <v>2767</v>
      </c>
      <c r="B2768" s="3" t="s">
        <v>3595</v>
      </c>
      <c r="C2768" s="75" t="s">
        <v>3596</v>
      </c>
      <c r="D2768" s="75" t="s">
        <v>1370</v>
      </c>
      <c r="E2768" s="75" t="str">
        <f>"০১৭২৫৬১৯৭৩২"</f>
        <v>০১৭২৫৬১৯৭৩২</v>
      </c>
      <c r="F2768" s="22" t="str">
        <f>"8119457814997"</f>
        <v>8119457814997</v>
      </c>
      <c r="G2768" s="75" t="str">
        <f>"০৪৫৭"</f>
        <v>০৪৫৭</v>
      </c>
      <c r="H2768" s="75" t="s">
        <v>371</v>
      </c>
      <c r="I2768" s="75" t="s">
        <v>371</v>
      </c>
      <c r="J2768" s="5"/>
    </row>
    <row r="2769" spans="1:10" x14ac:dyDescent="0.25">
      <c r="A2769" s="39">
        <v>2768</v>
      </c>
      <c r="B2769" s="3" t="s">
        <v>3597</v>
      </c>
      <c r="C2769" s="75" t="s">
        <v>3598</v>
      </c>
      <c r="D2769" s="75" t="s">
        <v>1370</v>
      </c>
      <c r="E2769" s="75" t="str">
        <f>"০১৭৬৭০৯৬০৪৭"</f>
        <v>০১৭৬৭০৯৬০৪৭</v>
      </c>
      <c r="F2769" s="22" t="str">
        <f>"8119457815032"</f>
        <v>8119457815032</v>
      </c>
      <c r="G2769" s="75" t="str">
        <f>"০৪৫৬"</f>
        <v>০৪৫৬</v>
      </c>
      <c r="H2769" s="75" t="s">
        <v>322</v>
      </c>
      <c r="I2769" s="75" t="s">
        <v>322</v>
      </c>
      <c r="J2769" s="5"/>
    </row>
    <row r="2770" spans="1:10" x14ac:dyDescent="0.25">
      <c r="A2770" s="39">
        <v>2769</v>
      </c>
      <c r="B2770" s="3" t="s">
        <v>3599</v>
      </c>
      <c r="C2770" s="75" t="s">
        <v>3600</v>
      </c>
      <c r="D2770" s="75" t="s">
        <v>1370</v>
      </c>
      <c r="E2770" s="75" t="str">
        <f>"০১৭৩৯৮৭৯৫৩৩"</f>
        <v>০১৭৩৯৮৭৯৫৩৩</v>
      </c>
      <c r="F2770" s="22" t="str">
        <f>"8119457813688"</f>
        <v>8119457813688</v>
      </c>
      <c r="G2770" s="75" t="str">
        <f>"০৪৫৫"</f>
        <v>০৪৫৫</v>
      </c>
      <c r="H2770" s="75" t="s">
        <v>371</v>
      </c>
      <c r="I2770" s="75" t="s">
        <v>371</v>
      </c>
      <c r="J2770" s="5"/>
    </row>
    <row r="2771" spans="1:10" x14ac:dyDescent="0.25">
      <c r="A2771" s="39">
        <v>2770</v>
      </c>
      <c r="B2771" s="3" t="s">
        <v>3601</v>
      </c>
      <c r="C2771" s="75" t="s">
        <v>3598</v>
      </c>
      <c r="D2771" s="75" t="s">
        <v>1370</v>
      </c>
      <c r="E2771" s="75" t="str">
        <f>"০১৭৪৬০৫০৬১৮"</f>
        <v>০১৭৪৬০৫০৬১৮</v>
      </c>
      <c r="F2771" s="22" t="str">
        <f>"8119457815029"</f>
        <v>8119457815029</v>
      </c>
      <c r="G2771" s="75" t="str">
        <f>"০৪৫৪"</f>
        <v>০৪৫৪</v>
      </c>
      <c r="H2771" s="75" t="s">
        <v>371</v>
      </c>
      <c r="I2771" s="75" t="s">
        <v>371</v>
      </c>
      <c r="J2771" s="5"/>
    </row>
    <row r="2772" spans="1:10" x14ac:dyDescent="0.25">
      <c r="A2772" s="39">
        <v>2771</v>
      </c>
      <c r="B2772" s="3" t="s">
        <v>3602</v>
      </c>
      <c r="C2772" s="75" t="s">
        <v>3598</v>
      </c>
      <c r="D2772" s="75" t="s">
        <v>1370</v>
      </c>
      <c r="E2772" s="75" t="str">
        <f>"০"</f>
        <v>০</v>
      </c>
      <c r="F2772" s="22" t="str">
        <f>"8119457814990"</f>
        <v>8119457814990</v>
      </c>
      <c r="G2772" s="75" t="str">
        <f>"০৪৫৩"</f>
        <v>০৪৫৩</v>
      </c>
      <c r="H2772" s="75" t="s">
        <v>322</v>
      </c>
      <c r="I2772" s="75" t="s">
        <v>322</v>
      </c>
      <c r="J2772" s="5"/>
    </row>
    <row r="2773" spans="1:10" x14ac:dyDescent="0.25">
      <c r="A2773" s="39">
        <v>2772</v>
      </c>
      <c r="B2773" s="3" t="s">
        <v>3603</v>
      </c>
      <c r="C2773" s="75" t="s">
        <v>3401</v>
      </c>
      <c r="D2773" s="75" t="s">
        <v>1370</v>
      </c>
      <c r="E2773" s="75" t="str">
        <f>"০"</f>
        <v>০</v>
      </c>
      <c r="F2773" s="22" t="str">
        <f>"8119457814437"</f>
        <v>8119457814437</v>
      </c>
      <c r="G2773" s="75" t="str">
        <f>"০৪৫২"</f>
        <v>০৪৫২</v>
      </c>
      <c r="H2773" s="75" t="s">
        <v>371</v>
      </c>
      <c r="I2773" s="75" t="s">
        <v>371</v>
      </c>
      <c r="J2773" s="5"/>
    </row>
    <row r="2774" spans="1:10" x14ac:dyDescent="0.25">
      <c r="A2774" s="39">
        <v>2773</v>
      </c>
      <c r="B2774" s="3" t="s">
        <v>3604</v>
      </c>
      <c r="C2774" s="75" t="s">
        <v>3605</v>
      </c>
      <c r="D2774" s="75" t="s">
        <v>1370</v>
      </c>
      <c r="E2774" s="75" t="str">
        <f>"০১৭৩৪১৬২৮৪৮"</f>
        <v>০১৭৩৪১৬২৮৪৮</v>
      </c>
      <c r="F2774" s="22" t="str">
        <f>"8119457815326"</f>
        <v>8119457815326</v>
      </c>
      <c r="G2774" s="75" t="str">
        <f>"০৪৫১"</f>
        <v>০৪৫১</v>
      </c>
      <c r="H2774" s="75" t="s">
        <v>364</v>
      </c>
      <c r="I2774" s="75" t="s">
        <v>364</v>
      </c>
      <c r="J2774" s="5"/>
    </row>
    <row r="2775" spans="1:10" x14ac:dyDescent="0.25">
      <c r="A2775" s="39">
        <v>2774</v>
      </c>
      <c r="B2775" s="3" t="s">
        <v>3606</v>
      </c>
      <c r="C2775" s="75" t="s">
        <v>3607</v>
      </c>
      <c r="D2775" s="75" t="s">
        <v>1370</v>
      </c>
      <c r="E2775" s="75" t="str">
        <f>"০১৭৫৯৩৩৭৭৮৫"</f>
        <v>০১৭৫৯৩৩৭৭৮৫</v>
      </c>
      <c r="F2775" s="22" t="str">
        <f>"8119457814983"</f>
        <v>8119457814983</v>
      </c>
      <c r="G2775" s="75" t="str">
        <f>"০৪৫০"</f>
        <v>০৪৫০</v>
      </c>
      <c r="H2775" s="75" t="s">
        <v>371</v>
      </c>
      <c r="I2775" s="75" t="s">
        <v>371</v>
      </c>
      <c r="J2775" s="5"/>
    </row>
    <row r="2776" spans="1:10" x14ac:dyDescent="0.25">
      <c r="A2776" s="39">
        <v>2775</v>
      </c>
      <c r="B2776" s="3" t="s">
        <v>3608</v>
      </c>
      <c r="C2776" s="75" t="s">
        <v>3609</v>
      </c>
      <c r="D2776" s="75" t="s">
        <v>1370</v>
      </c>
      <c r="E2776" s="75" t="str">
        <f>"০১৭৩৪১৬২৮৪৮"</f>
        <v>০১৭৩৪১৬২৮৪৮</v>
      </c>
      <c r="F2776" s="22" t="str">
        <f>"8119457814435"</f>
        <v>8119457814435</v>
      </c>
      <c r="G2776" s="75" t="str">
        <f>"০৪৪৯"</f>
        <v>০৪৪৯</v>
      </c>
      <c r="H2776" s="75" t="s">
        <v>371</v>
      </c>
      <c r="I2776" s="75" t="s">
        <v>371</v>
      </c>
      <c r="J2776" s="5"/>
    </row>
    <row r="2777" spans="1:10" x14ac:dyDescent="0.25">
      <c r="A2777" s="39">
        <v>2776</v>
      </c>
      <c r="B2777" s="3" t="s">
        <v>3610</v>
      </c>
      <c r="C2777" s="75" t="s">
        <v>3611</v>
      </c>
      <c r="D2777" s="75" t="s">
        <v>1370</v>
      </c>
      <c r="E2777" s="75" t="str">
        <f>"০"</f>
        <v>০</v>
      </c>
      <c r="F2777" s="22" t="str">
        <f>"8119457814670"</f>
        <v>8119457814670</v>
      </c>
      <c r="G2777" s="75" t="str">
        <f>"০৪৪৮"</f>
        <v>০৪৪৮</v>
      </c>
      <c r="H2777" s="75" t="s">
        <v>371</v>
      </c>
      <c r="I2777" s="75" t="s">
        <v>371</v>
      </c>
      <c r="J2777" s="5"/>
    </row>
    <row r="2778" spans="1:10" x14ac:dyDescent="0.25">
      <c r="A2778" s="39">
        <v>2777</v>
      </c>
      <c r="B2778" s="3" t="s">
        <v>3612</v>
      </c>
      <c r="C2778" s="75" t="s">
        <v>3613</v>
      </c>
      <c r="D2778" s="75" t="s">
        <v>1370</v>
      </c>
      <c r="E2778" s="75" t="str">
        <f>"০১৭৯৭৭৩৬১০২"</f>
        <v>০১৭৯৭৭৩৬১০২</v>
      </c>
      <c r="F2778" s="22" t="str">
        <f>"8119457818660"</f>
        <v>8119457818660</v>
      </c>
      <c r="G2778" s="75" t="str">
        <f>"০৪৪৭"</f>
        <v>০৪৪৭</v>
      </c>
      <c r="H2778" s="75" t="s">
        <v>322</v>
      </c>
      <c r="I2778" s="75" t="s">
        <v>322</v>
      </c>
      <c r="J2778" s="5"/>
    </row>
    <row r="2779" spans="1:10" x14ac:dyDescent="0.25">
      <c r="A2779" s="39">
        <v>2778</v>
      </c>
      <c r="B2779" s="3" t="s">
        <v>3614</v>
      </c>
      <c r="C2779" s="75" t="s">
        <v>3615</v>
      </c>
      <c r="D2779" s="75" t="s">
        <v>1370</v>
      </c>
      <c r="E2779" s="75" t="str">
        <f>"০১৭৫৫১২৮৩৫৮"</f>
        <v>০১৭৫৫১২৮৩৫৮</v>
      </c>
      <c r="F2779" s="22" t="str">
        <f>"8119457814414"</f>
        <v>8119457814414</v>
      </c>
      <c r="G2779" s="75" t="str">
        <f>"০৪৪৬"</f>
        <v>০৪৪৬</v>
      </c>
      <c r="H2779" s="75" t="s">
        <v>371</v>
      </c>
      <c r="I2779" s="75" t="s">
        <v>371</v>
      </c>
      <c r="J2779" s="5"/>
    </row>
    <row r="2780" spans="1:10" x14ac:dyDescent="0.25">
      <c r="A2780" s="39">
        <v>2779</v>
      </c>
      <c r="B2780" s="3" t="s">
        <v>3616</v>
      </c>
      <c r="C2780" s="75" t="s">
        <v>3617</v>
      </c>
      <c r="D2780" s="75" t="s">
        <v>1370</v>
      </c>
      <c r="E2780" s="75" t="str">
        <f>"০১৭৪৯৫৮৪৬৪৯"</f>
        <v>০১৭৪৯৫৮৪৬৪৯</v>
      </c>
      <c r="F2780" s="22" t="str">
        <f>"8119457814678"</f>
        <v>8119457814678</v>
      </c>
      <c r="G2780" s="75" t="str">
        <f>"০৪৪৫"</f>
        <v>০৪৪৫</v>
      </c>
      <c r="H2780" s="75" t="s">
        <v>329</v>
      </c>
      <c r="I2780" s="75" t="s">
        <v>329</v>
      </c>
      <c r="J2780" s="5"/>
    </row>
    <row r="2781" spans="1:10" x14ac:dyDescent="0.25">
      <c r="A2781" s="39">
        <v>2780</v>
      </c>
      <c r="B2781" s="3" t="s">
        <v>3618</v>
      </c>
      <c r="C2781" s="75" t="s">
        <v>3619</v>
      </c>
      <c r="D2781" s="75" t="s">
        <v>1370</v>
      </c>
      <c r="E2781" s="75" t="str">
        <f>"০১৭৪৯৪৯৯৯২৩"</f>
        <v>০১৭৪৯৪৯৯৯২৩</v>
      </c>
      <c r="F2781" s="22" t="str">
        <f>"8119457814662"</f>
        <v>8119457814662</v>
      </c>
      <c r="G2781" s="75" t="str">
        <f>"০৪৪৪"</f>
        <v>০৪৪৪</v>
      </c>
      <c r="H2781" s="75" t="s">
        <v>371</v>
      </c>
      <c r="I2781" s="75" t="s">
        <v>371</v>
      </c>
      <c r="J2781" s="5"/>
    </row>
    <row r="2782" spans="1:10" x14ac:dyDescent="0.25">
      <c r="A2782" s="39">
        <v>2781</v>
      </c>
      <c r="B2782" s="3" t="s">
        <v>3620</v>
      </c>
      <c r="C2782" s="75" t="s">
        <v>3621</v>
      </c>
      <c r="D2782" s="75" t="s">
        <v>1370</v>
      </c>
      <c r="E2782" s="75" t="str">
        <f>"০"</f>
        <v>০</v>
      </c>
      <c r="F2782" s="22" t="str">
        <f>"8119457814675"</f>
        <v>8119457814675</v>
      </c>
      <c r="G2782" s="75" t="str">
        <f>"০৪৪৩"</f>
        <v>০৪৪৩</v>
      </c>
      <c r="H2782" s="75" t="s">
        <v>371</v>
      </c>
      <c r="I2782" s="75" t="s">
        <v>371</v>
      </c>
      <c r="J2782" s="5"/>
    </row>
    <row r="2783" spans="1:10" x14ac:dyDescent="0.25">
      <c r="A2783" s="39">
        <v>2782</v>
      </c>
      <c r="B2783" s="3" t="s">
        <v>3622</v>
      </c>
      <c r="C2783" s="75" t="s">
        <v>3609</v>
      </c>
      <c r="D2783" s="75" t="s">
        <v>1370</v>
      </c>
      <c r="E2783" s="75" t="str">
        <f>"০১৭৬৫০৮২৩৮৮"</f>
        <v>০১৭৬৫০৮২৩৮৮</v>
      </c>
      <c r="F2783" s="22" t="str">
        <f>"8119457814432"</f>
        <v>8119457814432</v>
      </c>
      <c r="G2783" s="75" t="str">
        <f>"০৪৪২"</f>
        <v>০৪৪২</v>
      </c>
      <c r="H2783" s="75" t="s">
        <v>371</v>
      </c>
      <c r="I2783" s="75" t="s">
        <v>371</v>
      </c>
      <c r="J2783" s="5"/>
    </row>
    <row r="2784" spans="1:10" x14ac:dyDescent="0.25">
      <c r="A2784" s="39">
        <v>2783</v>
      </c>
      <c r="B2784" s="3" t="s">
        <v>3623</v>
      </c>
      <c r="C2784" s="75" t="s">
        <v>3624</v>
      </c>
      <c r="D2784" s="75" t="s">
        <v>1370</v>
      </c>
      <c r="E2784" s="75" t="str">
        <f>"০"</f>
        <v>০</v>
      </c>
      <c r="F2784" s="22" t="str">
        <f>"8119457814235"</f>
        <v>8119457814235</v>
      </c>
      <c r="G2784" s="75" t="str">
        <f>"০৪৪১"</f>
        <v>০৪৪১</v>
      </c>
      <c r="H2784" s="75" t="s">
        <v>371</v>
      </c>
      <c r="I2784" s="75" t="s">
        <v>371</v>
      </c>
      <c r="J2784" s="5"/>
    </row>
    <row r="2785" spans="1:10" x14ac:dyDescent="0.25">
      <c r="A2785" s="39">
        <v>2784</v>
      </c>
      <c r="B2785" s="3" t="s">
        <v>3625</v>
      </c>
      <c r="C2785" s="75" t="s">
        <v>3626</v>
      </c>
      <c r="D2785" s="75" t="s">
        <v>1370</v>
      </c>
      <c r="E2785" s="75" t="str">
        <f>"০১৭৪৬৬৩০২৯৬"</f>
        <v>০১৭৪৬৬৩০২৯৬</v>
      </c>
      <c r="F2785" s="22" t="str">
        <f>"8119457814704"</f>
        <v>8119457814704</v>
      </c>
      <c r="G2785" s="75" t="str">
        <f>"০৪৪০"</f>
        <v>০৪৪০</v>
      </c>
      <c r="H2785" s="75" t="s">
        <v>322</v>
      </c>
      <c r="I2785" s="75" t="s">
        <v>322</v>
      </c>
      <c r="J2785" s="5"/>
    </row>
    <row r="2786" spans="1:10" x14ac:dyDescent="0.25">
      <c r="A2786" s="39">
        <v>2785</v>
      </c>
      <c r="B2786" s="3" t="s">
        <v>1555</v>
      </c>
      <c r="C2786" s="75" t="s">
        <v>3511</v>
      </c>
      <c r="D2786" s="75" t="s">
        <v>1370</v>
      </c>
      <c r="E2786" s="75" t="str">
        <f>"০১৭৩৪৮২৮৫৫৯"</f>
        <v>০১৭৩৪৮২৮৫৫৯</v>
      </c>
      <c r="F2786" s="22" t="str">
        <f>"8119457814723"</f>
        <v>8119457814723</v>
      </c>
      <c r="G2786" s="75" t="str">
        <f>"০৪৩৯"</f>
        <v>০৪৩৯</v>
      </c>
      <c r="H2786" s="75" t="s">
        <v>322</v>
      </c>
      <c r="I2786" s="75" t="s">
        <v>322</v>
      </c>
      <c r="J2786" s="5"/>
    </row>
    <row r="2787" spans="1:10" x14ac:dyDescent="0.25">
      <c r="A2787" s="39">
        <v>2786</v>
      </c>
      <c r="B2787" s="3" t="s">
        <v>2281</v>
      </c>
      <c r="C2787" s="75" t="s">
        <v>3627</v>
      </c>
      <c r="D2787" s="75" t="s">
        <v>1370</v>
      </c>
      <c r="E2787" s="75" t="str">
        <f>"০১৭৯৬৮৭১৮৫১"</f>
        <v>০১৭৯৬৮৭১৮৫১</v>
      </c>
      <c r="F2787" s="22" t="str">
        <f>"8119457814251"</f>
        <v>8119457814251</v>
      </c>
      <c r="G2787" s="75" t="str">
        <f>"০৪৩৮"</f>
        <v>০৪৩৮</v>
      </c>
      <c r="H2787" s="75" t="s">
        <v>371</v>
      </c>
      <c r="I2787" s="75" t="s">
        <v>371</v>
      </c>
      <c r="J2787" s="5"/>
    </row>
    <row r="2788" spans="1:10" x14ac:dyDescent="0.25">
      <c r="A2788" s="39">
        <v>2787</v>
      </c>
      <c r="B2788" s="3" t="s">
        <v>3628</v>
      </c>
      <c r="C2788" s="75" t="s">
        <v>3629</v>
      </c>
      <c r="D2788" s="75" t="s">
        <v>1370</v>
      </c>
      <c r="E2788" s="75" t="str">
        <f>"০"</f>
        <v>০</v>
      </c>
      <c r="F2788" s="22" t="str">
        <f>"8119457814527"</f>
        <v>8119457814527</v>
      </c>
      <c r="G2788" s="75" t="str">
        <f>"০৪৩৭"</f>
        <v>০৪৩৭</v>
      </c>
      <c r="H2788" s="75" t="s">
        <v>371</v>
      </c>
      <c r="I2788" s="75" t="s">
        <v>371</v>
      </c>
      <c r="J2788" s="5"/>
    </row>
    <row r="2789" spans="1:10" x14ac:dyDescent="0.25">
      <c r="A2789" s="39">
        <v>2788</v>
      </c>
      <c r="B2789" s="3" t="s">
        <v>3630</v>
      </c>
      <c r="C2789" s="75" t="s">
        <v>3631</v>
      </c>
      <c r="D2789" s="75" t="s">
        <v>1370</v>
      </c>
      <c r="E2789" s="75" t="str">
        <f>"০১৭২৫৬১৯৬৮৭"</f>
        <v>০১৭২৫৬১৯৬৮৭</v>
      </c>
      <c r="F2789" s="22" t="str">
        <f>"8119457814694"</f>
        <v>8119457814694</v>
      </c>
      <c r="G2789" s="75" t="str">
        <f>"০৪৩৬"</f>
        <v>০৪৩৬</v>
      </c>
      <c r="H2789" s="75" t="s">
        <v>371</v>
      </c>
      <c r="I2789" s="75" t="s">
        <v>371</v>
      </c>
      <c r="J2789" s="5"/>
    </row>
    <row r="2790" spans="1:10" x14ac:dyDescent="0.25">
      <c r="A2790" s="39">
        <v>2789</v>
      </c>
      <c r="B2790" s="3" t="s">
        <v>3632</v>
      </c>
      <c r="C2790" s="75" t="s">
        <v>3633</v>
      </c>
      <c r="D2790" s="75" t="s">
        <v>1370</v>
      </c>
      <c r="E2790" s="75" t="str">
        <f>"০১৭৩৮২৭০৮২"</f>
        <v>০১৭৩৮২৭০৮২</v>
      </c>
      <c r="F2790" s="22" t="str">
        <f>"8119457814480"</f>
        <v>8119457814480</v>
      </c>
      <c r="G2790" s="75" t="str">
        <f>"০৪৩৫"</f>
        <v>০৪৩৫</v>
      </c>
      <c r="H2790" s="75" t="s">
        <v>371</v>
      </c>
      <c r="I2790" s="75" t="s">
        <v>371</v>
      </c>
      <c r="J2790" s="5"/>
    </row>
    <row r="2791" spans="1:10" x14ac:dyDescent="0.25">
      <c r="A2791" s="39">
        <v>2790</v>
      </c>
      <c r="B2791" s="3" t="s">
        <v>3634</v>
      </c>
      <c r="C2791" s="75" t="s">
        <v>3542</v>
      </c>
      <c r="D2791" s="75" t="s">
        <v>1370</v>
      </c>
      <c r="E2791" s="75" t="str">
        <f>"০"</f>
        <v>০</v>
      </c>
      <c r="F2791" s="22" t="str">
        <f>"8119457814571"</f>
        <v>8119457814571</v>
      </c>
      <c r="G2791" s="75" t="str">
        <f>"০৪৩৪"</f>
        <v>০৪৩৪</v>
      </c>
      <c r="H2791" s="75" t="s">
        <v>371</v>
      </c>
      <c r="I2791" s="75" t="s">
        <v>371</v>
      </c>
      <c r="J2791" s="5"/>
    </row>
    <row r="2792" spans="1:10" x14ac:dyDescent="0.25">
      <c r="A2792" s="39">
        <v>2791</v>
      </c>
      <c r="B2792" s="3" t="s">
        <v>3635</v>
      </c>
      <c r="C2792" s="75" t="s">
        <v>3636</v>
      </c>
      <c r="D2792" s="75" t="s">
        <v>1370</v>
      </c>
      <c r="E2792" s="75" t="str">
        <f>"০১৭২১০৩৫৯৩১"</f>
        <v>০১৭২১০৩৫৯৩১</v>
      </c>
      <c r="F2792" s="22" t="str">
        <f>"8119457814494"</f>
        <v>8119457814494</v>
      </c>
      <c r="G2792" s="75" t="str">
        <f>"০৪৩৩"</f>
        <v>০৪৩৩</v>
      </c>
      <c r="H2792" s="75" t="s">
        <v>322</v>
      </c>
      <c r="I2792" s="75" t="s">
        <v>322</v>
      </c>
      <c r="J2792" s="5"/>
    </row>
    <row r="2793" spans="1:10" x14ac:dyDescent="0.25">
      <c r="A2793" s="39">
        <v>2792</v>
      </c>
      <c r="B2793" s="3" t="s">
        <v>3637</v>
      </c>
      <c r="C2793" s="75" t="s">
        <v>3615</v>
      </c>
      <c r="D2793" s="75" t="s">
        <v>1370</v>
      </c>
      <c r="E2793" s="75" t="str">
        <f>"০১৭৪৯৭২৮২২৩"</f>
        <v>০১৭৪৯৭২৮২২৩</v>
      </c>
      <c r="F2793" s="22" t="str">
        <f>"8119457814412"</f>
        <v>8119457814412</v>
      </c>
      <c r="G2793" s="75" t="str">
        <f>"০৪৩২"</f>
        <v>০৪৩২</v>
      </c>
      <c r="H2793" s="75" t="s">
        <v>371</v>
      </c>
      <c r="I2793" s="75" t="s">
        <v>371</v>
      </c>
      <c r="J2793" s="5"/>
    </row>
    <row r="2794" spans="1:10" x14ac:dyDescent="0.25">
      <c r="A2794" s="39">
        <v>2793</v>
      </c>
      <c r="B2794" s="3" t="s">
        <v>3541</v>
      </c>
      <c r="C2794" s="75" t="s">
        <v>3553</v>
      </c>
      <c r="D2794" s="75" t="s">
        <v>1370</v>
      </c>
      <c r="E2794" s="75" t="str">
        <f>"০১৭৫৯৫৮৪৯৮৮"</f>
        <v>০১৭৫৯৫৮৪৯৮৮</v>
      </c>
      <c r="F2794" s="22" t="str">
        <f>"8119457814544"</f>
        <v>8119457814544</v>
      </c>
      <c r="G2794" s="75" t="str">
        <f>"০৪৩১"</f>
        <v>০৪৩১</v>
      </c>
      <c r="H2794" s="75" t="s">
        <v>371</v>
      </c>
      <c r="I2794" s="75" t="s">
        <v>371</v>
      </c>
      <c r="J2794" s="5"/>
    </row>
    <row r="2795" spans="1:10" x14ac:dyDescent="0.25">
      <c r="A2795" s="39">
        <v>2794</v>
      </c>
      <c r="B2795" s="3" t="s">
        <v>2321</v>
      </c>
      <c r="C2795" s="75" t="s">
        <v>3638</v>
      </c>
      <c r="D2795" s="75" t="s">
        <v>1370</v>
      </c>
      <c r="E2795" s="75" t="str">
        <f>"০১৭৭৪২৬৯০৯৭"</f>
        <v>০১৭৭৪২৬৯০৯৭</v>
      </c>
      <c r="F2795" s="22" t="str">
        <f>"8119457814266"</f>
        <v>8119457814266</v>
      </c>
      <c r="G2795" s="75" t="str">
        <f>"০৪৩০"</f>
        <v>০৪৩০</v>
      </c>
      <c r="H2795" s="75" t="s">
        <v>371</v>
      </c>
      <c r="I2795" s="75" t="s">
        <v>371</v>
      </c>
      <c r="J2795" s="5"/>
    </row>
    <row r="2796" spans="1:10" x14ac:dyDescent="0.25">
      <c r="A2796" s="39">
        <v>2795</v>
      </c>
      <c r="B2796" s="3" t="s">
        <v>1823</v>
      </c>
      <c r="C2796" s="75" t="s">
        <v>3639</v>
      </c>
      <c r="D2796" s="75" t="s">
        <v>1370</v>
      </c>
      <c r="E2796" s="75" t="str">
        <f>"০১৭১৫১৮৮১৪৪"</f>
        <v>০১৭১৫১৮৮১৪৪</v>
      </c>
      <c r="F2796" s="22" t="str">
        <f>"8119457814384"</f>
        <v>8119457814384</v>
      </c>
      <c r="G2796" s="75" t="str">
        <f>"০৪২৯"</f>
        <v>০৪২৯</v>
      </c>
      <c r="H2796" s="75" t="s">
        <v>371</v>
      </c>
      <c r="I2796" s="75" t="s">
        <v>371</v>
      </c>
      <c r="J2796" s="5"/>
    </row>
    <row r="2797" spans="1:10" x14ac:dyDescent="0.25">
      <c r="A2797" s="39">
        <v>2796</v>
      </c>
      <c r="B2797" s="3" t="s">
        <v>3640</v>
      </c>
      <c r="C2797" s="75" t="s">
        <v>3641</v>
      </c>
      <c r="D2797" s="75" t="s">
        <v>1370</v>
      </c>
      <c r="E2797" s="75" t="str">
        <f>"০১৭৩৯১০১৩৭৮"</f>
        <v>০১৭৩৯১০১৩৭৮</v>
      </c>
      <c r="F2797" s="22" t="str">
        <f>"8119457815031"</f>
        <v>8119457815031</v>
      </c>
      <c r="G2797" s="75" t="str">
        <f>"০৪২৮"</f>
        <v>০৪২৮</v>
      </c>
      <c r="H2797" s="75" t="s">
        <v>371</v>
      </c>
      <c r="I2797" s="75" t="s">
        <v>371</v>
      </c>
      <c r="J2797" s="5"/>
    </row>
    <row r="2798" spans="1:10" x14ac:dyDescent="0.25">
      <c r="A2798" s="39">
        <v>2797</v>
      </c>
      <c r="B2798" s="3" t="s">
        <v>3642</v>
      </c>
      <c r="C2798" s="75" t="s">
        <v>3640</v>
      </c>
      <c r="D2798" s="75" t="s">
        <v>1370</v>
      </c>
      <c r="E2798" s="75" t="str">
        <f>"০১৭২৮২৪৬৬৫৬"</f>
        <v>০১৭২৮২৪৬৬৫৬</v>
      </c>
      <c r="F2798" s="22" t="str">
        <f>"8119457815043"</f>
        <v>8119457815043</v>
      </c>
      <c r="G2798" s="75" t="str">
        <f>"০৪২৭"</f>
        <v>০৪২৭</v>
      </c>
      <c r="H2798" s="75" t="s">
        <v>371</v>
      </c>
      <c r="I2798" s="75" t="s">
        <v>371</v>
      </c>
      <c r="J2798" s="5"/>
    </row>
    <row r="2799" spans="1:10" x14ac:dyDescent="0.25">
      <c r="A2799" s="39">
        <v>2798</v>
      </c>
      <c r="B2799" s="3" t="s">
        <v>3643</v>
      </c>
      <c r="C2799" s="75" t="s">
        <v>3640</v>
      </c>
      <c r="D2799" s="75" t="s">
        <v>1370</v>
      </c>
      <c r="E2799" s="75" t="str">
        <f>"০১৭৪০৫৯৫৪২৮"</f>
        <v>০১৭৪০৫৯৫৪২৮</v>
      </c>
      <c r="F2799" s="22" t="str">
        <f>"8119457815030"</f>
        <v>8119457815030</v>
      </c>
      <c r="G2799" s="75" t="str">
        <f>"০৪২৬"</f>
        <v>০৪২৬</v>
      </c>
      <c r="H2799" s="75" t="s">
        <v>322</v>
      </c>
      <c r="I2799" s="75" t="s">
        <v>322</v>
      </c>
      <c r="J2799" s="5"/>
    </row>
    <row r="2800" spans="1:10" x14ac:dyDescent="0.25">
      <c r="A2800" s="39">
        <v>2799</v>
      </c>
      <c r="B2800" s="3" t="s">
        <v>3644</v>
      </c>
      <c r="C2800" s="75" t="s">
        <v>3645</v>
      </c>
      <c r="D2800" s="75" t="s">
        <v>1370</v>
      </c>
      <c r="E2800" s="75" t="str">
        <f>"০১৭৪৭৪৭৪২৪০"</f>
        <v>০১৭৪৭৪৭৪২৪০</v>
      </c>
      <c r="F2800" s="22" t="str">
        <f>"8119457814369"</f>
        <v>8119457814369</v>
      </c>
      <c r="G2800" s="75" t="str">
        <f>"০৪২৫"</f>
        <v>০৪২৫</v>
      </c>
      <c r="H2800" s="75" t="s">
        <v>371</v>
      </c>
      <c r="I2800" s="75" t="s">
        <v>371</v>
      </c>
      <c r="J2800" s="5"/>
    </row>
    <row r="2801" spans="1:10" x14ac:dyDescent="0.25">
      <c r="A2801" s="39">
        <v>2800</v>
      </c>
      <c r="B2801" s="3" t="s">
        <v>3646</v>
      </c>
      <c r="C2801" s="75" t="s">
        <v>3647</v>
      </c>
      <c r="D2801" s="75" t="s">
        <v>1370</v>
      </c>
      <c r="E2801" s="75" t="str">
        <f>"০১৭৮২৪৬৪৩৩১"</f>
        <v>০১৭৮২৪৬৪৩৩১</v>
      </c>
      <c r="F2801" s="22" t="str">
        <f>"8119457810512"</f>
        <v>8119457810512</v>
      </c>
      <c r="G2801" s="75" t="str">
        <f>"০৪২৪"</f>
        <v>০৪২৪</v>
      </c>
      <c r="H2801" s="75" t="s">
        <v>329</v>
      </c>
      <c r="I2801" s="75" t="s">
        <v>329</v>
      </c>
      <c r="J2801" s="5"/>
    </row>
    <row r="2802" spans="1:10" x14ac:dyDescent="0.25">
      <c r="A2802" s="39">
        <v>2801</v>
      </c>
      <c r="B2802" s="3" t="s">
        <v>2154</v>
      </c>
      <c r="C2802" s="75" t="s">
        <v>3648</v>
      </c>
      <c r="D2802" s="75" t="s">
        <v>1370</v>
      </c>
      <c r="E2802" s="75" t="str">
        <f>"০১৭৬৮৯৩৮৯৪৬"</f>
        <v>০১৭৬৮৯৩৮৯৪৬</v>
      </c>
      <c r="F2802" s="22" t="str">
        <f>"8119457814604"</f>
        <v>8119457814604</v>
      </c>
      <c r="G2802" s="75" t="str">
        <f>"০৪২৩"</f>
        <v>০৪২৩</v>
      </c>
      <c r="H2802" s="75" t="s">
        <v>319</v>
      </c>
      <c r="I2802" s="75" t="s">
        <v>319</v>
      </c>
      <c r="J2802" s="5"/>
    </row>
    <row r="2803" spans="1:10" x14ac:dyDescent="0.25">
      <c r="A2803" s="39">
        <v>2802</v>
      </c>
      <c r="B2803" s="3" t="s">
        <v>3649</v>
      </c>
      <c r="C2803" s="75" t="s">
        <v>3650</v>
      </c>
      <c r="D2803" s="75" t="s">
        <v>1370</v>
      </c>
      <c r="E2803" s="75" t="str">
        <f>"০১৭৫২৯২৫৬৫৫"</f>
        <v>০১৭৫২৯২৫৬৫৫</v>
      </c>
      <c r="F2803" s="22" t="str">
        <f>"8119457814685"</f>
        <v>8119457814685</v>
      </c>
      <c r="G2803" s="75" t="str">
        <f>"০৪২২"</f>
        <v>০৪২২</v>
      </c>
      <c r="H2803" s="75" t="s">
        <v>319</v>
      </c>
      <c r="I2803" s="75" t="s">
        <v>319</v>
      </c>
      <c r="J2803" s="5"/>
    </row>
    <row r="2804" spans="1:10" x14ac:dyDescent="0.25">
      <c r="A2804" s="39">
        <v>2803</v>
      </c>
      <c r="B2804" s="3" t="s">
        <v>3651</v>
      </c>
      <c r="C2804" s="75" t="s">
        <v>3645</v>
      </c>
      <c r="D2804" s="75" t="s">
        <v>1370</v>
      </c>
      <c r="E2804" s="75" t="str">
        <f>"০১৭৪৫৩১৬৯৪৮"</f>
        <v>০১৭৪৫৩১৬৯৪৮</v>
      </c>
      <c r="F2804" s="22" t="str">
        <f>"8119457814364"</f>
        <v>8119457814364</v>
      </c>
      <c r="G2804" s="75" t="str">
        <f>"০৪২১"</f>
        <v>০৪২১</v>
      </c>
      <c r="H2804" s="75" t="s">
        <v>319</v>
      </c>
      <c r="I2804" s="75" t="s">
        <v>319</v>
      </c>
      <c r="J2804" s="5"/>
    </row>
    <row r="2805" spans="1:10" x14ac:dyDescent="0.25">
      <c r="A2805" s="39">
        <v>2804</v>
      </c>
      <c r="B2805" s="3" t="s">
        <v>3652</v>
      </c>
      <c r="C2805" s="75" t="s">
        <v>3653</v>
      </c>
      <c r="D2805" s="75" t="s">
        <v>1370</v>
      </c>
      <c r="E2805" s="75" t="str">
        <f>"০১৭৮২৪৬৪৩৩১"</f>
        <v>০১৭৮২৪৬৪৩৩১</v>
      </c>
      <c r="F2805" s="22" t="str">
        <f>"8119457815019"</f>
        <v>8119457815019</v>
      </c>
      <c r="G2805" s="75" t="str">
        <f>"০৪২০"</f>
        <v>০৪২০</v>
      </c>
      <c r="H2805" s="75" t="s">
        <v>322</v>
      </c>
      <c r="I2805" s="75" t="s">
        <v>322</v>
      </c>
      <c r="J2805" s="5"/>
    </row>
    <row r="2806" spans="1:10" x14ac:dyDescent="0.25">
      <c r="A2806" s="39">
        <v>2805</v>
      </c>
      <c r="B2806" s="3" t="s">
        <v>3654</v>
      </c>
      <c r="C2806" s="75" t="s">
        <v>3655</v>
      </c>
      <c r="D2806" s="75" t="s">
        <v>1370</v>
      </c>
      <c r="E2806" s="75" t="str">
        <f>"০১৭২৮১৭২১৪৮"</f>
        <v>০১৭২৮১৭২১৪৮</v>
      </c>
      <c r="F2806" s="22" t="str">
        <f>"8119457814362"</f>
        <v>8119457814362</v>
      </c>
      <c r="G2806" s="75" t="str">
        <f>"০৪১৯"</f>
        <v>০৪১৯</v>
      </c>
      <c r="H2806" s="75" t="s">
        <v>371</v>
      </c>
      <c r="I2806" s="75" t="s">
        <v>371</v>
      </c>
      <c r="J2806" s="5"/>
    </row>
    <row r="2807" spans="1:10" x14ac:dyDescent="0.25">
      <c r="A2807" s="39">
        <v>2806</v>
      </c>
      <c r="B2807" s="3" t="s">
        <v>3656</v>
      </c>
      <c r="C2807" s="75" t="s">
        <v>3657</v>
      </c>
      <c r="D2807" s="75" t="s">
        <v>1370</v>
      </c>
      <c r="E2807" s="75" t="str">
        <f>"০১৭৯৬১৫৮৭৫১"</f>
        <v>০১৭৯৬১৫৮৭৫১</v>
      </c>
      <c r="F2807" s="22" t="str">
        <f>"8119457814443"</f>
        <v>8119457814443</v>
      </c>
      <c r="G2807" s="75" t="str">
        <f>"০৪১৮"</f>
        <v>০৪১৮</v>
      </c>
      <c r="H2807" s="75" t="s">
        <v>319</v>
      </c>
      <c r="I2807" s="75" t="s">
        <v>319</v>
      </c>
      <c r="J2807" s="5"/>
    </row>
    <row r="2808" spans="1:10" x14ac:dyDescent="0.25">
      <c r="A2808" s="39">
        <v>2807</v>
      </c>
      <c r="B2808" s="3" t="s">
        <v>3658</v>
      </c>
      <c r="C2808" s="75" t="s">
        <v>3659</v>
      </c>
      <c r="D2808" s="75" t="s">
        <v>1370</v>
      </c>
      <c r="E2808" s="75" t="str">
        <f>"০"</f>
        <v>০</v>
      </c>
      <c r="F2808" s="22" t="str">
        <f>"8119457814189"</f>
        <v>8119457814189</v>
      </c>
      <c r="G2808" s="75" t="str">
        <f>"০৪১৭"</f>
        <v>০৪১৭</v>
      </c>
      <c r="H2808" s="75" t="s">
        <v>322</v>
      </c>
      <c r="I2808" s="75" t="s">
        <v>322</v>
      </c>
      <c r="J2808" s="5"/>
    </row>
    <row r="2809" spans="1:10" x14ac:dyDescent="0.25">
      <c r="A2809" s="39">
        <v>2808</v>
      </c>
      <c r="B2809" s="3" t="s">
        <v>3660</v>
      </c>
      <c r="C2809" s="75" t="s">
        <v>3661</v>
      </c>
      <c r="D2809" s="75" t="s">
        <v>1370</v>
      </c>
      <c r="E2809" s="75" t="str">
        <f>"০১৭২৫৪৮৩৯৯৬"</f>
        <v>০১৭২৫৪৮৩৯৯৬</v>
      </c>
      <c r="F2809" s="22" t="str">
        <f>"8119457814637"</f>
        <v>8119457814637</v>
      </c>
      <c r="G2809" s="75" t="str">
        <f>"০৪১৬"</f>
        <v>০৪১৬</v>
      </c>
      <c r="H2809" s="75" t="s">
        <v>319</v>
      </c>
      <c r="I2809" s="75" t="s">
        <v>319</v>
      </c>
      <c r="J2809" s="5"/>
    </row>
    <row r="2810" spans="1:10" x14ac:dyDescent="0.25">
      <c r="A2810" s="39">
        <v>2809</v>
      </c>
      <c r="B2810" s="3" t="s">
        <v>3662</v>
      </c>
      <c r="C2810" s="75" t="s">
        <v>3663</v>
      </c>
      <c r="D2810" s="75" t="s">
        <v>1370</v>
      </c>
      <c r="E2810" s="75" t="str">
        <f>"০"</f>
        <v>০</v>
      </c>
      <c r="F2810" s="22" t="str">
        <f>"8119457814641"</f>
        <v>8119457814641</v>
      </c>
      <c r="G2810" s="75" t="str">
        <f>"০৪১৫"</f>
        <v>০৪১৫</v>
      </c>
      <c r="H2810" s="75" t="s">
        <v>319</v>
      </c>
      <c r="I2810" s="75" t="s">
        <v>319</v>
      </c>
      <c r="J2810" s="5"/>
    </row>
    <row r="2811" spans="1:10" x14ac:dyDescent="0.25">
      <c r="A2811" s="39">
        <v>2810</v>
      </c>
      <c r="B2811" s="3" t="s">
        <v>3664</v>
      </c>
      <c r="C2811" s="75" t="s">
        <v>3665</v>
      </c>
      <c r="D2811" s="75" t="s">
        <v>1370</v>
      </c>
      <c r="E2811" s="75" t="str">
        <f>"০"</f>
        <v>০</v>
      </c>
      <c r="F2811" s="22" t="str">
        <f>"8119457814642"</f>
        <v>8119457814642</v>
      </c>
      <c r="G2811" s="75" t="str">
        <f>"০৪১৪"</f>
        <v>০৪১৪</v>
      </c>
      <c r="H2811" s="75" t="s">
        <v>322</v>
      </c>
      <c r="I2811" s="75" t="s">
        <v>322</v>
      </c>
      <c r="J2811" s="5"/>
    </row>
    <row r="2812" spans="1:10" x14ac:dyDescent="0.25">
      <c r="A2812" s="39">
        <v>2811</v>
      </c>
      <c r="B2812" s="3" t="s">
        <v>3666</v>
      </c>
      <c r="C2812" s="75" t="s">
        <v>3535</v>
      </c>
      <c r="D2812" s="75" t="s">
        <v>1370</v>
      </c>
      <c r="E2812" s="75" t="str">
        <f>"০১৭১৩৭৯৬১২৩"</f>
        <v>০১৭১৩৭৯৬১২৩</v>
      </c>
      <c r="F2812" s="22" t="str">
        <f>"8119457814287"</f>
        <v>8119457814287</v>
      </c>
      <c r="G2812" s="75" t="str">
        <f>"০৪১৩"</f>
        <v>০৪১৩</v>
      </c>
      <c r="H2812" s="75" t="s">
        <v>371</v>
      </c>
      <c r="I2812" s="75" t="s">
        <v>371</v>
      </c>
      <c r="J2812" s="5"/>
    </row>
    <row r="2813" spans="1:10" x14ac:dyDescent="0.25">
      <c r="A2813" s="39">
        <v>2812</v>
      </c>
      <c r="B2813" s="3" t="s">
        <v>2782</v>
      </c>
      <c r="C2813" s="75" t="s">
        <v>3325</v>
      </c>
      <c r="D2813" s="75" t="s">
        <v>1370</v>
      </c>
      <c r="E2813" s="75" t="str">
        <f>"০১৭৯৬১৫৮৭৪৪"</f>
        <v>০১৭৯৬১৫৮৭৪৪</v>
      </c>
      <c r="F2813" s="22" t="str">
        <f>"8119457814700"</f>
        <v>8119457814700</v>
      </c>
      <c r="G2813" s="75" t="str">
        <f>"০৪১২"</f>
        <v>০৪১২</v>
      </c>
      <c r="H2813" s="75" t="s">
        <v>371</v>
      </c>
      <c r="I2813" s="75" t="s">
        <v>371</v>
      </c>
      <c r="J2813" s="5"/>
    </row>
    <row r="2814" spans="1:10" x14ac:dyDescent="0.25">
      <c r="A2814" s="39">
        <v>2813</v>
      </c>
      <c r="B2814" s="3" t="s">
        <v>1690</v>
      </c>
      <c r="C2814" s="75" t="s">
        <v>3667</v>
      </c>
      <c r="D2814" s="75" t="s">
        <v>1370</v>
      </c>
      <c r="E2814" s="75" t="str">
        <f>"০১৭৮৬৮৬৬৮০৫"</f>
        <v>০১৭৮৬৮৬৬৮০৫</v>
      </c>
      <c r="F2814" s="22" t="str">
        <f>"8119457813800"</f>
        <v>8119457813800</v>
      </c>
      <c r="G2814" s="75" t="str">
        <f>"০৪১১"</f>
        <v>০৪১১</v>
      </c>
      <c r="H2814" s="75" t="s">
        <v>315</v>
      </c>
      <c r="I2814" s="75" t="s">
        <v>315</v>
      </c>
      <c r="J2814" s="5"/>
    </row>
    <row r="2815" spans="1:10" x14ac:dyDescent="0.25">
      <c r="A2815" s="39">
        <v>2814</v>
      </c>
      <c r="B2815" s="3" t="s">
        <v>3668</v>
      </c>
      <c r="C2815" s="75" t="s">
        <v>3629</v>
      </c>
      <c r="D2815" s="75" t="s">
        <v>1370</v>
      </c>
      <c r="E2815" s="75" t="str">
        <f>"০"</f>
        <v>০</v>
      </c>
      <c r="F2815" s="22" t="str">
        <f>"8119457814524"</f>
        <v>8119457814524</v>
      </c>
      <c r="G2815" s="75" t="str">
        <f>"০৪১০"</f>
        <v>০৪১০</v>
      </c>
      <c r="H2815" s="75" t="s">
        <v>319</v>
      </c>
      <c r="I2815" s="75" t="s">
        <v>319</v>
      </c>
      <c r="J2815" s="5"/>
    </row>
    <row r="2816" spans="1:10" x14ac:dyDescent="0.25">
      <c r="A2816" s="39">
        <v>2815</v>
      </c>
      <c r="B2816" s="3" t="s">
        <v>3669</v>
      </c>
      <c r="C2816" s="75" t="s">
        <v>3670</v>
      </c>
      <c r="D2816" s="75" t="s">
        <v>1370</v>
      </c>
      <c r="E2816" s="75" t="str">
        <f>"০"</f>
        <v>০</v>
      </c>
      <c r="F2816" s="22" t="str">
        <f>"8119457813773"</f>
        <v>8119457813773</v>
      </c>
      <c r="G2816" s="75" t="str">
        <f>"০৪০৯"</f>
        <v>০৪০৯</v>
      </c>
      <c r="H2816" s="75" t="s">
        <v>319</v>
      </c>
      <c r="I2816" s="75" t="s">
        <v>319</v>
      </c>
      <c r="J2816" s="5"/>
    </row>
    <row r="2817" spans="1:10" x14ac:dyDescent="0.25">
      <c r="A2817" s="39">
        <v>2816</v>
      </c>
      <c r="B2817" s="3" t="s">
        <v>3671</v>
      </c>
      <c r="C2817" s="75" t="s">
        <v>1547</v>
      </c>
      <c r="D2817" s="75" t="s">
        <v>1370</v>
      </c>
      <c r="E2817" s="75" t="str">
        <f>"০১৭৪০৯৬০২২৫"</f>
        <v>০১৭৪০৯৬০২২৫</v>
      </c>
      <c r="F2817" s="22" t="str">
        <f>"8119457814646"</f>
        <v>8119457814646</v>
      </c>
      <c r="G2817" s="75" t="str">
        <f>"০৪০৮"</f>
        <v>০৪০৮</v>
      </c>
      <c r="H2817" s="75" t="s">
        <v>371</v>
      </c>
      <c r="I2817" s="75" t="s">
        <v>371</v>
      </c>
      <c r="J2817" s="5"/>
    </row>
    <row r="2818" spans="1:10" x14ac:dyDescent="0.25">
      <c r="A2818" s="39">
        <v>2817</v>
      </c>
      <c r="B2818" s="3" t="s">
        <v>3672</v>
      </c>
      <c r="C2818" s="75" t="s">
        <v>1628</v>
      </c>
      <c r="D2818" s="75" t="s">
        <v>1370</v>
      </c>
      <c r="E2818" s="75" t="str">
        <f>"০"</f>
        <v>০</v>
      </c>
      <c r="F2818" s="22" t="str">
        <f>"8119457000027"</f>
        <v>8119457000027</v>
      </c>
      <c r="G2818" s="75" t="str">
        <f>"০৪০৭"</f>
        <v>০৪০৭</v>
      </c>
      <c r="H2818" s="75" t="s">
        <v>329</v>
      </c>
      <c r="I2818" s="75" t="s">
        <v>329</v>
      </c>
      <c r="J2818" s="5"/>
    </row>
    <row r="2819" spans="1:10" x14ac:dyDescent="0.25">
      <c r="A2819" s="39">
        <v>2818</v>
      </c>
      <c r="B2819" s="3" t="s">
        <v>3673</v>
      </c>
      <c r="C2819" s="75" t="s">
        <v>3674</v>
      </c>
      <c r="D2819" s="75" t="s">
        <v>1370</v>
      </c>
      <c r="E2819" s="75" t="str">
        <f>"০১৭৩৭৪৯৫৯৭৪"</f>
        <v>০১৭৩৭৪৯৫৯৭৪</v>
      </c>
      <c r="F2819" s="22" t="str">
        <f>"8119457815037"</f>
        <v>8119457815037</v>
      </c>
      <c r="G2819" s="75" t="str">
        <f>"০৪০৬"</f>
        <v>০৪০৬</v>
      </c>
      <c r="H2819" s="75" t="s">
        <v>322</v>
      </c>
      <c r="I2819" s="75" t="s">
        <v>322</v>
      </c>
      <c r="J2819" s="5"/>
    </row>
    <row r="2820" spans="1:10" x14ac:dyDescent="0.25">
      <c r="A2820" s="39">
        <v>2819</v>
      </c>
      <c r="B2820" s="3" t="s">
        <v>1842</v>
      </c>
      <c r="C2820" s="75" t="s">
        <v>3675</v>
      </c>
      <c r="D2820" s="75" t="s">
        <v>1370</v>
      </c>
      <c r="E2820" s="75" t="str">
        <f>"০১৭৩৫৯৩৩৬৯৯"</f>
        <v>০১৭৩৫৯৩৩৬৯৯</v>
      </c>
      <c r="F2820" s="22" t="str">
        <f>"8119457813697"</f>
        <v>8119457813697</v>
      </c>
      <c r="G2820" s="75" t="str">
        <f>"০৪০৫"</f>
        <v>০৪০৫</v>
      </c>
      <c r="H2820" s="75" t="s">
        <v>319</v>
      </c>
      <c r="I2820" s="75" t="s">
        <v>319</v>
      </c>
      <c r="J2820" s="5"/>
    </row>
    <row r="2821" spans="1:10" x14ac:dyDescent="0.25">
      <c r="A2821" s="39">
        <v>2820</v>
      </c>
      <c r="B2821" s="3" t="s">
        <v>3350</v>
      </c>
      <c r="C2821" s="75" t="s">
        <v>3676</v>
      </c>
      <c r="D2821" s="75" t="s">
        <v>1370</v>
      </c>
      <c r="E2821" s="75" t="str">
        <f>"০১৭২৭৮১৪৯৮৭"</f>
        <v>০১৭২৭৮১৪৯৮৭</v>
      </c>
      <c r="F2821" s="22" t="str">
        <f>"8119457814573"</f>
        <v>8119457814573</v>
      </c>
      <c r="G2821" s="75" t="str">
        <f>"০৪০৪"</f>
        <v>০৪০৪</v>
      </c>
      <c r="H2821" s="75" t="s">
        <v>330</v>
      </c>
      <c r="I2821" s="75" t="s">
        <v>330</v>
      </c>
      <c r="J2821" s="5"/>
    </row>
    <row r="2822" spans="1:10" x14ac:dyDescent="0.25">
      <c r="A2822" s="39">
        <v>2821</v>
      </c>
      <c r="B2822" s="3" t="s">
        <v>1628</v>
      </c>
      <c r="C2822" s="75" t="s">
        <v>3677</v>
      </c>
      <c r="D2822" s="75" t="s">
        <v>1370</v>
      </c>
      <c r="E2822" s="75" t="str">
        <f>"০"</f>
        <v>০</v>
      </c>
      <c r="F2822" s="22" t="str">
        <f>"8119457814624"</f>
        <v>8119457814624</v>
      </c>
      <c r="G2822" s="75" t="str">
        <f>"০৪০৩"</f>
        <v>০৪০৩</v>
      </c>
      <c r="H2822" s="75" t="s">
        <v>329</v>
      </c>
      <c r="I2822" s="75" t="s">
        <v>329</v>
      </c>
      <c r="J2822" s="5"/>
    </row>
    <row r="2823" spans="1:10" x14ac:dyDescent="0.25">
      <c r="A2823" s="39">
        <v>2822</v>
      </c>
      <c r="B2823" s="3" t="s">
        <v>3678</v>
      </c>
      <c r="C2823" s="75" t="s">
        <v>3468</v>
      </c>
      <c r="D2823" s="75" t="s">
        <v>1370</v>
      </c>
      <c r="E2823" s="75" t="str">
        <f>"০১৭৩৫১২২৮৮৩"</f>
        <v>০১৭৩৫১২২৮৮৩</v>
      </c>
      <c r="F2823" s="22" t="str">
        <f>"8119457813674"</f>
        <v>8119457813674</v>
      </c>
      <c r="G2823" s="75" t="str">
        <f>"০৪০২"</f>
        <v>০৪০২</v>
      </c>
      <c r="H2823" s="75" t="s">
        <v>322</v>
      </c>
      <c r="I2823" s="75" t="s">
        <v>322</v>
      </c>
      <c r="J2823" s="5"/>
    </row>
    <row r="2824" spans="1:10" x14ac:dyDescent="0.25">
      <c r="A2824" s="39">
        <v>2823</v>
      </c>
      <c r="B2824" s="3" t="s">
        <v>3679</v>
      </c>
      <c r="C2824" s="75" t="s">
        <v>3680</v>
      </c>
      <c r="D2824" s="75" t="s">
        <v>1370</v>
      </c>
      <c r="E2824" s="75" t="str">
        <f>"০১৭৩৫৩৩৩১৭৫"</f>
        <v>০১৭৩৫৩৩৩১৭৫</v>
      </c>
      <c r="F2824" s="22" t="str">
        <f>"8119457813672"</f>
        <v>8119457813672</v>
      </c>
      <c r="G2824" s="75" t="str">
        <f>"০৪০১"</f>
        <v>০৪০১</v>
      </c>
      <c r="H2824" s="75" t="s">
        <v>319</v>
      </c>
      <c r="I2824" s="75" t="s">
        <v>319</v>
      </c>
      <c r="J2824" s="5"/>
    </row>
    <row r="2825" spans="1:10" x14ac:dyDescent="0.25">
      <c r="A2825" s="39">
        <v>2824</v>
      </c>
      <c r="B2825" s="3" t="s">
        <v>3645</v>
      </c>
      <c r="C2825" s="75" t="s">
        <v>3681</v>
      </c>
      <c r="D2825" s="75" t="s">
        <v>1370</v>
      </c>
      <c r="E2825" s="75" t="str">
        <f>"০"</f>
        <v>০</v>
      </c>
      <c r="F2825" s="22" t="str">
        <f>"8119457814359"</f>
        <v>8119457814359</v>
      </c>
      <c r="G2825" s="75" t="str">
        <f>"০৪০০"</f>
        <v>০৪০০</v>
      </c>
      <c r="H2825" s="75" t="s">
        <v>456</v>
      </c>
      <c r="I2825" s="75" t="s">
        <v>456</v>
      </c>
      <c r="J2825" s="5"/>
    </row>
    <row r="2826" spans="1:10" x14ac:dyDescent="0.25">
      <c r="A2826" s="39">
        <v>2825</v>
      </c>
      <c r="B2826" s="3" t="s">
        <v>2980</v>
      </c>
      <c r="C2826" s="75" t="s">
        <v>3682</v>
      </c>
      <c r="D2826" s="75" t="s">
        <v>1370</v>
      </c>
      <c r="E2826" s="75" t="str">
        <f>"০১৭৯২৮৮৫০৬৩"</f>
        <v>০১৭৯২৮৮৫০৬৩</v>
      </c>
      <c r="F2826" s="22" t="str">
        <f>"8119457814283"</f>
        <v>8119457814283</v>
      </c>
      <c r="G2826" s="75" t="str">
        <f>"০৩৯৯"</f>
        <v>০৩৯৯</v>
      </c>
      <c r="H2826" s="75" t="s">
        <v>1394</v>
      </c>
      <c r="I2826" s="75" t="s">
        <v>1394</v>
      </c>
      <c r="J2826" s="5"/>
    </row>
    <row r="2827" spans="1:10" x14ac:dyDescent="0.25">
      <c r="A2827" s="39">
        <v>2826</v>
      </c>
      <c r="B2827" s="3" t="s">
        <v>3683</v>
      </c>
      <c r="C2827" s="75" t="s">
        <v>3684</v>
      </c>
      <c r="D2827" s="75" t="s">
        <v>1370</v>
      </c>
      <c r="E2827" s="75" t="str">
        <f>"০১৮৪০৫৮৮৮৪৭"</f>
        <v>০১৮৪০৫৮৮৮৪৭</v>
      </c>
      <c r="F2827" s="22" t="str">
        <f>"8119457814206"</f>
        <v>8119457814206</v>
      </c>
      <c r="G2827" s="75" t="str">
        <f>"০৩৯৮"</f>
        <v>০৩৯৮</v>
      </c>
      <c r="H2827" s="75" t="s">
        <v>319</v>
      </c>
      <c r="I2827" s="75" t="s">
        <v>319</v>
      </c>
      <c r="J2827" s="5"/>
    </row>
    <row r="2828" spans="1:10" x14ac:dyDescent="0.25">
      <c r="A2828" s="39">
        <v>2827</v>
      </c>
      <c r="B2828" s="3" t="s">
        <v>3685</v>
      </c>
      <c r="C2828" s="75" t="s">
        <v>3524</v>
      </c>
      <c r="D2828" s="75" t="s">
        <v>1370</v>
      </c>
      <c r="E2828" s="75" t="str">
        <f>"০১৯৩৮৩৮৫০২৮"</f>
        <v>০১৯৩৮৩৮৫০২৮</v>
      </c>
      <c r="F2828" s="22" t="str">
        <f>"8119457814334"</f>
        <v>8119457814334</v>
      </c>
      <c r="G2828" s="75" t="str">
        <f>"০৩৯৭"</f>
        <v>০৩৯৭</v>
      </c>
      <c r="H2828" s="75" t="s">
        <v>456</v>
      </c>
      <c r="I2828" s="75" t="s">
        <v>456</v>
      </c>
      <c r="J2828" s="5"/>
    </row>
    <row r="2829" spans="1:10" x14ac:dyDescent="0.25">
      <c r="A2829" s="39">
        <v>2828</v>
      </c>
      <c r="B2829" s="3" t="s">
        <v>3686</v>
      </c>
      <c r="C2829" s="75" t="s">
        <v>3524</v>
      </c>
      <c r="D2829" s="75" t="s">
        <v>1370</v>
      </c>
      <c r="E2829" s="75" t="str">
        <f>"০১৭২৫০২১০১৩"</f>
        <v>০১৭২৫০২১০১৩</v>
      </c>
      <c r="F2829" s="22" t="str">
        <f>"8119457814336"</f>
        <v>8119457814336</v>
      </c>
      <c r="G2829" s="75" t="str">
        <f>"০৩৯৬"</f>
        <v>০৩৯৬</v>
      </c>
      <c r="H2829" s="75" t="s">
        <v>330</v>
      </c>
      <c r="I2829" s="75" t="s">
        <v>330</v>
      </c>
      <c r="J2829" s="5"/>
    </row>
    <row r="2830" spans="1:10" x14ac:dyDescent="0.25">
      <c r="A2830" s="39">
        <v>2829</v>
      </c>
      <c r="B2830" s="3" t="s">
        <v>3687</v>
      </c>
      <c r="C2830" s="75" t="s">
        <v>3684</v>
      </c>
      <c r="D2830" s="75" t="s">
        <v>1370</v>
      </c>
      <c r="E2830" s="75" t="str">
        <f>"০১৭১৩৭৭৮৩৩৪"</f>
        <v>০১৭১৩৭৭৮৩৩৪</v>
      </c>
      <c r="F2830" s="22" t="str">
        <f>"8119457814204"</f>
        <v>8119457814204</v>
      </c>
      <c r="G2830" s="75" t="str">
        <f>"০৩৯৫"</f>
        <v>০৩৯৫</v>
      </c>
      <c r="H2830" s="75" t="s">
        <v>319</v>
      </c>
      <c r="I2830" s="75" t="s">
        <v>319</v>
      </c>
      <c r="J2830" s="5"/>
    </row>
    <row r="2831" spans="1:10" x14ac:dyDescent="0.25">
      <c r="A2831" s="39">
        <v>2830</v>
      </c>
      <c r="B2831" s="3" t="s">
        <v>3688</v>
      </c>
      <c r="C2831" s="75" t="s">
        <v>3684</v>
      </c>
      <c r="D2831" s="75" t="s">
        <v>1370</v>
      </c>
      <c r="E2831" s="75" t="str">
        <f>"০১৭৩২২৬১৫১৯"</f>
        <v>০১৭৩২২৬১৫১৯</v>
      </c>
      <c r="F2831" s="22" t="str">
        <f>"8119457814207"</f>
        <v>8119457814207</v>
      </c>
      <c r="G2831" s="75" t="str">
        <f>"০৩৯৪"</f>
        <v>০৩৯৪</v>
      </c>
      <c r="H2831" s="75" t="s">
        <v>322</v>
      </c>
      <c r="I2831" s="75" t="s">
        <v>322</v>
      </c>
      <c r="J2831" s="5"/>
    </row>
    <row r="2832" spans="1:10" x14ac:dyDescent="0.25">
      <c r="A2832" s="39">
        <v>2831</v>
      </c>
      <c r="B2832" s="3" t="s">
        <v>1679</v>
      </c>
      <c r="C2832" s="75" t="s">
        <v>2477</v>
      </c>
      <c r="D2832" s="75" t="s">
        <v>1370</v>
      </c>
      <c r="E2832" s="75" t="str">
        <f>"০১৭৪৪০৩৮৫৬৯"</f>
        <v>০১৭৪৪০৩৮৫৬৯</v>
      </c>
      <c r="F2832" s="22" t="str">
        <f>"8119457814272"</f>
        <v>8119457814272</v>
      </c>
      <c r="G2832" s="75" t="str">
        <f>"০৩৯৩"</f>
        <v>০৩৯৩</v>
      </c>
      <c r="H2832" s="75" t="s">
        <v>364</v>
      </c>
      <c r="I2832" s="75" t="s">
        <v>364</v>
      </c>
      <c r="J2832" s="5"/>
    </row>
    <row r="2833" spans="1:10" x14ac:dyDescent="0.25">
      <c r="A2833" s="39">
        <v>2832</v>
      </c>
      <c r="B2833" s="3" t="s">
        <v>1635</v>
      </c>
      <c r="C2833" s="75" t="s">
        <v>3017</v>
      </c>
      <c r="D2833" s="75" t="s">
        <v>1370</v>
      </c>
      <c r="E2833" s="75" t="str">
        <f>"০১৭৫০৮৮৮৯৪৩"</f>
        <v>০১৭৫০৮৮৮৯৪৩</v>
      </c>
      <c r="F2833" s="22" t="str">
        <f>"8119457814262"</f>
        <v>8119457814262</v>
      </c>
      <c r="G2833" s="75" t="str">
        <f>"০৩৯২"</f>
        <v>০৩৯২</v>
      </c>
      <c r="H2833" s="75" t="s">
        <v>319</v>
      </c>
      <c r="I2833" s="75" t="s">
        <v>319</v>
      </c>
      <c r="J2833" s="5"/>
    </row>
    <row r="2834" spans="1:10" x14ac:dyDescent="0.25">
      <c r="A2834" s="39">
        <v>2833</v>
      </c>
      <c r="B2834" s="3" t="s">
        <v>1823</v>
      </c>
      <c r="C2834" s="75" t="s">
        <v>3689</v>
      </c>
      <c r="D2834" s="75" t="s">
        <v>1370</v>
      </c>
      <c r="E2834" s="75" t="str">
        <f>"০১৭২৩৮৫৫১৯৫"</f>
        <v>০১৭২৩৮৫৫১৯৫</v>
      </c>
      <c r="F2834" s="22" t="str">
        <f>"8119457814279"</f>
        <v>8119457814279</v>
      </c>
      <c r="G2834" s="75" t="str">
        <f>"০৩৯১"</f>
        <v>০৩৯১</v>
      </c>
      <c r="H2834" s="75" t="s">
        <v>329</v>
      </c>
      <c r="I2834" s="75" t="s">
        <v>329</v>
      </c>
      <c r="J2834" s="5"/>
    </row>
    <row r="2835" spans="1:10" x14ac:dyDescent="0.25">
      <c r="A2835" s="39">
        <v>2834</v>
      </c>
      <c r="B2835" s="3" t="s">
        <v>3690</v>
      </c>
      <c r="C2835" s="75" t="s">
        <v>3691</v>
      </c>
      <c r="D2835" s="75" t="s">
        <v>1370</v>
      </c>
      <c r="E2835" s="75" t="str">
        <f>"০১৭৩৭৯০৪৪৫২"</f>
        <v>০১৭৩৭৯০৪৪৫২</v>
      </c>
      <c r="F2835" s="22" t="str">
        <f>"8119457814280"</f>
        <v>8119457814280</v>
      </c>
      <c r="G2835" s="75" t="str">
        <f>"০৩৯০"</f>
        <v>০৩৯০</v>
      </c>
      <c r="H2835" s="75" t="s">
        <v>330</v>
      </c>
      <c r="I2835" s="75" t="s">
        <v>330</v>
      </c>
      <c r="J2835" s="5"/>
    </row>
    <row r="2836" spans="1:10" x14ac:dyDescent="0.25">
      <c r="A2836" s="39">
        <v>2835</v>
      </c>
      <c r="B2836" s="3" t="s">
        <v>3692</v>
      </c>
      <c r="C2836" s="75" t="s">
        <v>3691</v>
      </c>
      <c r="D2836" s="75" t="s">
        <v>1370</v>
      </c>
      <c r="E2836" s="75" t="str">
        <f>"০১৭৯২৮৮৫০৬৩"</f>
        <v>০১৭৯২৮৮৫০৬৩</v>
      </c>
      <c r="F2836" s="22" t="str">
        <f>"8119457814282"</f>
        <v>8119457814282</v>
      </c>
      <c r="G2836" s="75" t="str">
        <f>"০৩৮৯"</f>
        <v>০৩৮৯</v>
      </c>
      <c r="H2836" s="75" t="s">
        <v>319</v>
      </c>
      <c r="I2836" s="75" t="s">
        <v>319</v>
      </c>
      <c r="J2836" s="5"/>
    </row>
    <row r="2837" spans="1:10" x14ac:dyDescent="0.25">
      <c r="A2837" s="39">
        <v>2836</v>
      </c>
      <c r="B2837" s="3" t="s">
        <v>3693</v>
      </c>
      <c r="C2837" s="75" t="s">
        <v>2927</v>
      </c>
      <c r="D2837" s="75" t="s">
        <v>1370</v>
      </c>
      <c r="E2837" s="75" t="str">
        <f>"০১৭৩৬১৩০০৯৭"</f>
        <v>০১৭৩৬১৩০০৯৭</v>
      </c>
      <c r="F2837" s="22" t="str">
        <f>"8119457814284"</f>
        <v>8119457814284</v>
      </c>
      <c r="G2837" s="75" t="str">
        <f>"০৩৮৮"</f>
        <v>০৩৮৮</v>
      </c>
      <c r="H2837" s="75" t="s">
        <v>319</v>
      </c>
      <c r="I2837" s="75" t="s">
        <v>319</v>
      </c>
      <c r="J2837" s="5"/>
    </row>
    <row r="2838" spans="1:10" x14ac:dyDescent="0.25">
      <c r="A2838" s="39">
        <v>2837</v>
      </c>
      <c r="B2838" s="3" t="s">
        <v>1963</v>
      </c>
      <c r="C2838" s="75" t="s">
        <v>1602</v>
      </c>
      <c r="D2838" s="75" t="s">
        <v>1370</v>
      </c>
      <c r="E2838" s="75" t="str">
        <f>"০"</f>
        <v>০</v>
      </c>
      <c r="F2838" s="22" t="str">
        <f>"8119457814286"</f>
        <v>8119457814286</v>
      </c>
      <c r="G2838" s="75" t="str">
        <f>"০৩৮৭"</f>
        <v>০৩৮৭</v>
      </c>
      <c r="H2838" s="75" t="s">
        <v>330</v>
      </c>
      <c r="I2838" s="75" t="s">
        <v>330</v>
      </c>
      <c r="J2838" s="5"/>
    </row>
    <row r="2839" spans="1:10" x14ac:dyDescent="0.25">
      <c r="A2839" s="39">
        <v>2838</v>
      </c>
      <c r="B2839" s="3" t="s">
        <v>3694</v>
      </c>
      <c r="C2839" s="75" t="s">
        <v>3518</v>
      </c>
      <c r="D2839" s="75" t="s">
        <v>1370</v>
      </c>
      <c r="E2839" s="75" t="str">
        <f>"০"</f>
        <v>০</v>
      </c>
      <c r="F2839" s="22" t="str">
        <f>"8119457814197"</f>
        <v>8119457814197</v>
      </c>
      <c r="G2839" s="75" t="str">
        <f>"০৩৮৬"</f>
        <v>০৩৮৬</v>
      </c>
      <c r="H2839" s="75" t="s">
        <v>319</v>
      </c>
      <c r="I2839" s="75" t="s">
        <v>319</v>
      </c>
      <c r="J2839" s="5"/>
    </row>
    <row r="2840" spans="1:10" x14ac:dyDescent="0.25">
      <c r="A2840" s="39">
        <v>2839</v>
      </c>
      <c r="B2840" s="3" t="s">
        <v>3536</v>
      </c>
      <c r="C2840" s="75" t="s">
        <v>3695</v>
      </c>
      <c r="D2840" s="75" t="s">
        <v>1370</v>
      </c>
      <c r="E2840" s="75" t="str">
        <f>"০১৭৩৩২৫৭৫৫৯"</f>
        <v>০১৭৩৩২৫৭৫৫৯</v>
      </c>
      <c r="F2840" s="22" t="str">
        <f>"8119457814351"</f>
        <v>8119457814351</v>
      </c>
      <c r="G2840" s="75" t="str">
        <f>"০৩৮৫"</f>
        <v>০৩৮৫</v>
      </c>
      <c r="H2840" s="75" t="s">
        <v>329</v>
      </c>
      <c r="I2840" s="75" t="s">
        <v>329</v>
      </c>
      <c r="J2840" s="5"/>
    </row>
    <row r="2841" spans="1:10" x14ac:dyDescent="0.25">
      <c r="A2841" s="39">
        <v>2840</v>
      </c>
      <c r="B2841" s="3" t="s">
        <v>2949</v>
      </c>
      <c r="C2841" s="75" t="s">
        <v>3696</v>
      </c>
      <c r="D2841" s="75" t="s">
        <v>1370</v>
      </c>
      <c r="E2841" s="75" t="str">
        <f>"০১৭৪২৭৭০৮৪২"</f>
        <v>০১৭৪২৭৭০৮৪২</v>
      </c>
      <c r="F2841" s="22" t="str">
        <f>"8119457814350"</f>
        <v>8119457814350</v>
      </c>
      <c r="G2841" s="75" t="str">
        <f>"০৩৮৪"</f>
        <v>০৩৮৪</v>
      </c>
      <c r="H2841" s="75" t="s">
        <v>315</v>
      </c>
      <c r="I2841" s="75" t="s">
        <v>315</v>
      </c>
      <c r="J2841" s="5"/>
    </row>
    <row r="2842" spans="1:10" x14ac:dyDescent="0.25">
      <c r="A2842" s="39">
        <v>2841</v>
      </c>
      <c r="B2842" s="3" t="s">
        <v>3697</v>
      </c>
      <c r="C2842" s="75" t="s">
        <v>3698</v>
      </c>
      <c r="D2842" s="75" t="s">
        <v>1370</v>
      </c>
      <c r="E2842" s="75" t="str">
        <f>"০১৭৩৭০০০১৫৭"</f>
        <v>০১৭৩৭০০০১৫৭</v>
      </c>
      <c r="F2842" s="22" t="str">
        <f>"8119457814264"</f>
        <v>8119457814264</v>
      </c>
      <c r="G2842" s="75" t="str">
        <f>"০৩৮৩"</f>
        <v>০৩৮৩</v>
      </c>
      <c r="H2842" s="75" t="s">
        <v>322</v>
      </c>
      <c r="I2842" s="75" t="s">
        <v>322</v>
      </c>
      <c r="J2842" s="5"/>
    </row>
    <row r="2843" spans="1:10" x14ac:dyDescent="0.25">
      <c r="A2843" s="39">
        <v>2842</v>
      </c>
      <c r="B2843" s="3" t="s">
        <v>3699</v>
      </c>
      <c r="C2843" s="75" t="s">
        <v>3700</v>
      </c>
      <c r="D2843" s="75" t="s">
        <v>1370</v>
      </c>
      <c r="E2843" s="75" t="str">
        <f>"০"</f>
        <v>০</v>
      </c>
      <c r="F2843" s="22" t="str">
        <f>"8119457814208"</f>
        <v>8119457814208</v>
      </c>
      <c r="G2843" s="75" t="str">
        <f>"০৩৮২"</f>
        <v>০৩৮২</v>
      </c>
      <c r="H2843" s="75" t="s">
        <v>319</v>
      </c>
      <c r="I2843" s="75" t="s">
        <v>319</v>
      </c>
      <c r="J2843" s="5"/>
    </row>
    <row r="2844" spans="1:10" x14ac:dyDescent="0.25">
      <c r="A2844" s="39">
        <v>2843</v>
      </c>
      <c r="B2844" s="3" t="s">
        <v>1626</v>
      </c>
      <c r="C2844" s="75" t="s">
        <v>3554</v>
      </c>
      <c r="D2844" s="75" t="s">
        <v>1370</v>
      </c>
      <c r="E2844" s="75" t="str">
        <f>"০"</f>
        <v>০</v>
      </c>
      <c r="F2844" s="22" t="str">
        <f>"8119457814184"</f>
        <v>8119457814184</v>
      </c>
      <c r="G2844" s="75" t="str">
        <f>"০৩৮১"</f>
        <v>০৩৮১</v>
      </c>
      <c r="H2844" s="75" t="s">
        <v>319</v>
      </c>
      <c r="I2844" s="75" t="s">
        <v>319</v>
      </c>
      <c r="J2844" s="5"/>
    </row>
    <row r="2845" spans="1:10" x14ac:dyDescent="0.25">
      <c r="A2845" s="39">
        <v>2844</v>
      </c>
      <c r="B2845" s="3" t="s">
        <v>3701</v>
      </c>
      <c r="C2845" s="75" t="s">
        <v>3702</v>
      </c>
      <c r="D2845" s="75" t="s">
        <v>1370</v>
      </c>
      <c r="E2845" s="75" t="str">
        <f>"০"</f>
        <v>০</v>
      </c>
      <c r="F2845" s="22" t="str">
        <f>"8119457814305"</f>
        <v>8119457814305</v>
      </c>
      <c r="G2845" s="75" t="str">
        <f>"০৩৮০"</f>
        <v>০৩৮০</v>
      </c>
      <c r="H2845" s="75" t="s">
        <v>319</v>
      </c>
      <c r="I2845" s="75" t="s">
        <v>319</v>
      </c>
      <c r="J2845" s="5"/>
    </row>
    <row r="2846" spans="1:10" x14ac:dyDescent="0.25">
      <c r="A2846" s="39">
        <v>2845</v>
      </c>
      <c r="B2846" s="3" t="s">
        <v>3703</v>
      </c>
      <c r="C2846" s="75" t="s">
        <v>3702</v>
      </c>
      <c r="D2846" s="75" t="s">
        <v>1370</v>
      </c>
      <c r="E2846" s="75" t="str">
        <f>"০১৭১৭৩৭৪৪০৪"</f>
        <v>০১৭১৭৩৭৪৪০৪</v>
      </c>
      <c r="F2846" s="22" t="str">
        <f>"8119457814307"</f>
        <v>8119457814307</v>
      </c>
      <c r="G2846" s="75" t="str">
        <f>"০৩৭৯"</f>
        <v>০৩৭৯</v>
      </c>
      <c r="H2846" s="75" t="s">
        <v>456</v>
      </c>
      <c r="I2846" s="75" t="s">
        <v>456</v>
      </c>
      <c r="J2846" s="5"/>
    </row>
    <row r="2847" spans="1:10" x14ac:dyDescent="0.25">
      <c r="A2847" s="39">
        <v>2846</v>
      </c>
      <c r="B2847" s="3" t="s">
        <v>3704</v>
      </c>
      <c r="C2847" s="75" t="s">
        <v>3705</v>
      </c>
      <c r="D2847" s="75" t="s">
        <v>1370</v>
      </c>
      <c r="E2847" s="75" t="str">
        <f>"০"</f>
        <v>০</v>
      </c>
      <c r="F2847" s="22" t="str">
        <f>"8119457814304"</f>
        <v>8119457814304</v>
      </c>
      <c r="G2847" s="75" t="str">
        <f>"০৩৭৮"</f>
        <v>০৩৭৮</v>
      </c>
      <c r="H2847" s="75" t="s">
        <v>319</v>
      </c>
      <c r="I2847" s="75" t="s">
        <v>319</v>
      </c>
      <c r="J2847" s="5"/>
    </row>
    <row r="2848" spans="1:10" x14ac:dyDescent="0.25">
      <c r="A2848" s="39">
        <v>2847</v>
      </c>
      <c r="B2848" s="3" t="s">
        <v>3706</v>
      </c>
      <c r="C2848" s="75" t="s">
        <v>3707</v>
      </c>
      <c r="D2848" s="75" t="s">
        <v>1370</v>
      </c>
      <c r="E2848" s="75" t="str">
        <f>"০"</f>
        <v>০</v>
      </c>
      <c r="F2848" s="22" t="str">
        <f>"8119457813783"</f>
        <v>8119457813783</v>
      </c>
      <c r="G2848" s="75" t="str">
        <f>"০৩৭৭"</f>
        <v>০৩৭৭</v>
      </c>
      <c r="H2848" s="75" t="s">
        <v>319</v>
      </c>
      <c r="I2848" s="75" t="s">
        <v>319</v>
      </c>
      <c r="J2848" s="5"/>
    </row>
    <row r="2849" spans="1:10" x14ac:dyDescent="0.25">
      <c r="A2849" s="39">
        <v>2848</v>
      </c>
      <c r="B2849" s="3" t="s">
        <v>3708</v>
      </c>
      <c r="C2849" s="75" t="s">
        <v>3709</v>
      </c>
      <c r="D2849" s="75" t="s">
        <v>1370</v>
      </c>
      <c r="E2849" s="75" t="str">
        <f>"০"</f>
        <v>০</v>
      </c>
      <c r="F2849" s="22" t="str">
        <f>"8119457814617"</f>
        <v>8119457814617</v>
      </c>
      <c r="G2849" s="75" t="str">
        <f>"০৩৭৬"</f>
        <v>০৩৭৬</v>
      </c>
      <c r="H2849" s="75" t="s">
        <v>1394</v>
      </c>
      <c r="I2849" s="75" t="s">
        <v>1394</v>
      </c>
      <c r="J2849" s="5"/>
    </row>
    <row r="2850" spans="1:10" x14ac:dyDescent="0.25">
      <c r="A2850" s="39">
        <v>2849</v>
      </c>
      <c r="B2850" s="3" t="s">
        <v>1679</v>
      </c>
      <c r="C2850" s="75" t="s">
        <v>3710</v>
      </c>
      <c r="D2850" s="75" t="s">
        <v>1370</v>
      </c>
      <c r="E2850" s="75" t="str">
        <f>"০১৯৩৬৪৫২৯০৭"</f>
        <v>০১৯৩৬৪৫২৯০৭</v>
      </c>
      <c r="F2850" s="22" t="str">
        <f>"8119457814711"</f>
        <v>8119457814711</v>
      </c>
      <c r="G2850" s="75" t="str">
        <f>"০৩৭৫"</f>
        <v>০৩৭৫</v>
      </c>
      <c r="H2850" s="75" t="s">
        <v>319</v>
      </c>
      <c r="I2850" s="75" t="s">
        <v>319</v>
      </c>
      <c r="J2850" s="5"/>
    </row>
    <row r="2851" spans="1:10" x14ac:dyDescent="0.25">
      <c r="A2851" s="39">
        <v>2850</v>
      </c>
      <c r="B2851" s="3" t="s">
        <v>3711</v>
      </c>
      <c r="C2851" s="75" t="s">
        <v>2477</v>
      </c>
      <c r="D2851" s="75" t="s">
        <v>1370</v>
      </c>
      <c r="E2851" s="75" t="str">
        <f>"০১৭৪৬২৬৮৭১২"</f>
        <v>০১৭৪৬২৬৮৭১২</v>
      </c>
      <c r="F2851" s="22" t="str">
        <f>"8119457814644"</f>
        <v>8119457814644</v>
      </c>
      <c r="G2851" s="75" t="str">
        <f>"০৩৭৪"</f>
        <v>০৩৭৪</v>
      </c>
      <c r="H2851" s="75" t="s">
        <v>319</v>
      </c>
      <c r="I2851" s="75" t="s">
        <v>319</v>
      </c>
      <c r="J2851" s="5"/>
    </row>
    <row r="2852" spans="1:10" x14ac:dyDescent="0.25">
      <c r="A2852" s="39">
        <v>2851</v>
      </c>
      <c r="B2852" s="3" t="s">
        <v>3712</v>
      </c>
      <c r="C2852" s="75" t="s">
        <v>3713</v>
      </c>
      <c r="D2852" s="75" t="s">
        <v>1370</v>
      </c>
      <c r="E2852" s="75" t="str">
        <f>"০১৭১৪৬৫৯৩৬১"</f>
        <v>০১৭১৪৬৫৯৩৬১</v>
      </c>
      <c r="F2852" s="22" t="str">
        <f>"8119457814964"</f>
        <v>8119457814964</v>
      </c>
      <c r="G2852" s="75" t="str">
        <f>"০৩৭৩"</f>
        <v>০৩৭৩</v>
      </c>
      <c r="H2852" s="75" t="s">
        <v>456</v>
      </c>
      <c r="I2852" s="75" t="s">
        <v>456</v>
      </c>
      <c r="J2852" s="5"/>
    </row>
    <row r="2853" spans="1:10" x14ac:dyDescent="0.25">
      <c r="A2853" s="39">
        <v>2852</v>
      </c>
      <c r="B2853" s="3" t="s">
        <v>2130</v>
      </c>
      <c r="C2853" s="75" t="s">
        <v>3714</v>
      </c>
      <c r="D2853" s="75" t="s">
        <v>1370</v>
      </c>
      <c r="E2853" s="75" t="str">
        <f>"০১৭২৮৪৫৯১৪৩"</f>
        <v>০১৭২৮৪৫৯১৪৩</v>
      </c>
      <c r="F2853" s="22" t="str">
        <f>"8119457814972"</f>
        <v>8119457814972</v>
      </c>
      <c r="G2853" s="75" t="str">
        <f>"০৩৭২"</f>
        <v>০৩৭২</v>
      </c>
      <c r="H2853" s="75" t="s">
        <v>322</v>
      </c>
      <c r="I2853" s="75" t="s">
        <v>322</v>
      </c>
      <c r="J2853" s="5"/>
    </row>
    <row r="2854" spans="1:10" x14ac:dyDescent="0.25">
      <c r="A2854" s="39">
        <v>2853</v>
      </c>
      <c r="B2854" s="3" t="s">
        <v>3715</v>
      </c>
      <c r="C2854" s="75" t="s">
        <v>3716</v>
      </c>
      <c r="D2854" s="75" t="s">
        <v>1370</v>
      </c>
      <c r="E2854" s="75" t="str">
        <f>"০১৭২৫৬১৯৭৩২"</f>
        <v>০১৭২৫৬১৯৭৩২</v>
      </c>
      <c r="F2854" s="22" t="str">
        <f>"8119457814994"</f>
        <v>8119457814994</v>
      </c>
      <c r="G2854" s="75" t="str">
        <f>"০৩৭১"</f>
        <v>০৩৭১</v>
      </c>
      <c r="H2854" s="75" t="s">
        <v>1434</v>
      </c>
      <c r="I2854" s="75" t="s">
        <v>1434</v>
      </c>
      <c r="J2854" s="5"/>
    </row>
    <row r="2855" spans="1:10" x14ac:dyDescent="0.25">
      <c r="A2855" s="39">
        <v>2854</v>
      </c>
      <c r="B2855" s="3" t="s">
        <v>2802</v>
      </c>
      <c r="C2855" s="75" t="s">
        <v>3717</v>
      </c>
      <c r="D2855" s="75" t="s">
        <v>1370</v>
      </c>
      <c r="E2855" s="75" t="str">
        <f>"০"</f>
        <v>০</v>
      </c>
      <c r="F2855" s="22" t="str">
        <f>"8119457814762"</f>
        <v>8119457814762</v>
      </c>
      <c r="G2855" s="75" t="str">
        <f>"০৩৭০"</f>
        <v>০৩৭০</v>
      </c>
      <c r="H2855" s="75" t="s">
        <v>319</v>
      </c>
      <c r="I2855" s="75" t="s">
        <v>319</v>
      </c>
      <c r="J2855" s="5"/>
    </row>
    <row r="2856" spans="1:10" x14ac:dyDescent="0.25">
      <c r="A2856" s="39">
        <v>2855</v>
      </c>
      <c r="B2856" s="3" t="s">
        <v>3718</v>
      </c>
      <c r="C2856" s="75" t="s">
        <v>2443</v>
      </c>
      <c r="D2856" s="75" t="s">
        <v>1370</v>
      </c>
      <c r="E2856" s="75" t="str">
        <f>"০১৭৩৮৩০৭৩৯৭"</f>
        <v>০১৭৩৮৩০৭৩৯৭</v>
      </c>
      <c r="F2856" s="22" t="str">
        <f>"8119457813812"</f>
        <v>8119457813812</v>
      </c>
      <c r="G2856" s="75" t="str">
        <f>"০৩৬৯"</f>
        <v>০৩৬৯</v>
      </c>
      <c r="H2856" s="75" t="s">
        <v>371</v>
      </c>
      <c r="I2856" s="75" t="s">
        <v>371</v>
      </c>
      <c r="J2856" s="5"/>
    </row>
    <row r="2857" spans="1:10" x14ac:dyDescent="0.25">
      <c r="A2857" s="39">
        <v>2856</v>
      </c>
      <c r="B2857" s="3" t="s">
        <v>3719</v>
      </c>
      <c r="C2857" s="75" t="s">
        <v>3720</v>
      </c>
      <c r="D2857" s="75" t="s">
        <v>1370</v>
      </c>
      <c r="E2857" s="75" t="str">
        <f>"০"</f>
        <v>০</v>
      </c>
      <c r="F2857" s="22" t="str">
        <f>"8119457814310"</f>
        <v>8119457814310</v>
      </c>
      <c r="G2857" s="75" t="str">
        <f>"০৩৬৮"</f>
        <v>০৩৬৮</v>
      </c>
      <c r="H2857" s="75" t="s">
        <v>322</v>
      </c>
      <c r="I2857" s="75" t="s">
        <v>322</v>
      </c>
      <c r="J2857" s="5"/>
    </row>
    <row r="2858" spans="1:10" x14ac:dyDescent="0.25">
      <c r="A2858" s="39">
        <v>2857</v>
      </c>
      <c r="B2858" s="3" t="s">
        <v>3721</v>
      </c>
      <c r="C2858" s="75" t="s">
        <v>3722</v>
      </c>
      <c r="D2858" s="75" t="s">
        <v>1370</v>
      </c>
      <c r="E2858" s="75" t="str">
        <f>"০"</f>
        <v>০</v>
      </c>
      <c r="F2858" s="22" t="str">
        <f>"8119457814294"</f>
        <v>8119457814294</v>
      </c>
      <c r="G2858" s="75" t="str">
        <f>"০৩৬৭"</f>
        <v>০৩৬৭</v>
      </c>
      <c r="H2858" s="75" t="s">
        <v>371</v>
      </c>
      <c r="I2858" s="75" t="s">
        <v>371</v>
      </c>
      <c r="J2858" s="5"/>
    </row>
    <row r="2859" spans="1:10" x14ac:dyDescent="0.25">
      <c r="A2859" s="39">
        <v>2858</v>
      </c>
      <c r="B2859" s="3" t="s">
        <v>3723</v>
      </c>
      <c r="C2859" s="75" t="s">
        <v>3724</v>
      </c>
      <c r="D2859" s="75" t="s">
        <v>1370</v>
      </c>
      <c r="E2859" s="75" t="str">
        <f>"০১৭২৪৩২৬৮৮৩"</f>
        <v>০১৭২৪৩২৬৮৮৩</v>
      </c>
      <c r="F2859" s="22" t="str">
        <f>"8119457814367"</f>
        <v>8119457814367</v>
      </c>
      <c r="G2859" s="75" t="str">
        <f>"০৩৬৬"</f>
        <v>০৩৬৬</v>
      </c>
      <c r="H2859" s="75" t="s">
        <v>371</v>
      </c>
      <c r="I2859" s="75" t="s">
        <v>371</v>
      </c>
      <c r="J2859" s="5"/>
    </row>
    <row r="2860" spans="1:10" x14ac:dyDescent="0.25">
      <c r="A2860" s="39">
        <v>2859</v>
      </c>
      <c r="B2860" s="3" t="s">
        <v>3725</v>
      </c>
      <c r="C2860" s="75" t="s">
        <v>3726</v>
      </c>
      <c r="D2860" s="75" t="s">
        <v>1370</v>
      </c>
      <c r="E2860" s="75" t="str">
        <f>"০"</f>
        <v>০</v>
      </c>
      <c r="F2860" s="22" t="str">
        <f>"8119457814218"</f>
        <v>8119457814218</v>
      </c>
      <c r="G2860" s="75" t="str">
        <f>"০৩৬৫"</f>
        <v>০৩৬৫</v>
      </c>
      <c r="H2860" s="75" t="s">
        <v>322</v>
      </c>
      <c r="I2860" s="75" t="s">
        <v>322</v>
      </c>
      <c r="J2860" s="5"/>
    </row>
    <row r="2861" spans="1:10" x14ac:dyDescent="0.25">
      <c r="A2861" s="39">
        <v>2860</v>
      </c>
      <c r="B2861" s="3" t="s">
        <v>3727</v>
      </c>
      <c r="C2861" s="78" t="s">
        <v>3726</v>
      </c>
      <c r="D2861" s="75" t="s">
        <v>1370</v>
      </c>
      <c r="E2861" s="75" t="str">
        <f>"০১৭২৪৩৮৪৮০২"</f>
        <v>০১৭২৪৩৮৪৮০২</v>
      </c>
      <c r="F2861" s="22" t="str">
        <f>"8119457814219"</f>
        <v>8119457814219</v>
      </c>
      <c r="G2861" s="75" t="str">
        <f>"০৩৬৪"</f>
        <v>০৩৬৪</v>
      </c>
      <c r="H2861" s="75" t="s">
        <v>371</v>
      </c>
      <c r="I2861" s="75" t="s">
        <v>371</v>
      </c>
      <c r="J2861" s="5"/>
    </row>
    <row r="2862" spans="1:10" x14ac:dyDescent="0.25">
      <c r="A2862" s="39">
        <v>2861</v>
      </c>
      <c r="B2862" s="3" t="s">
        <v>3520</v>
      </c>
      <c r="C2862" s="75" t="s">
        <v>3535</v>
      </c>
      <c r="D2862" s="75" t="s">
        <v>1370</v>
      </c>
      <c r="E2862" s="75" t="str">
        <f>"০"</f>
        <v>০</v>
      </c>
      <c r="F2862" s="22" t="str">
        <f>"8119457814343"</f>
        <v>8119457814343</v>
      </c>
      <c r="G2862" s="75" t="str">
        <f>"০৩৬৩"</f>
        <v>০৩৬৩</v>
      </c>
      <c r="H2862" s="75" t="s">
        <v>364</v>
      </c>
      <c r="I2862" s="75" t="s">
        <v>364</v>
      </c>
      <c r="J2862" s="5"/>
    </row>
    <row r="2863" spans="1:10" x14ac:dyDescent="0.25">
      <c r="A2863" s="39">
        <v>2862</v>
      </c>
      <c r="B2863" s="3" t="s">
        <v>3726</v>
      </c>
      <c r="C2863" s="75" t="s">
        <v>3728</v>
      </c>
      <c r="D2863" s="75" t="s">
        <v>1370</v>
      </c>
      <c r="E2863" s="75" t="str">
        <f>"০১৭২৭৩৪৭৪০২"</f>
        <v>০১৭২৭৩৪৭৪০২</v>
      </c>
      <c r="F2863" s="22" t="str">
        <f>"8119457814217"</f>
        <v>8119457814217</v>
      </c>
      <c r="G2863" s="75" t="str">
        <f>"০৩৬২"</f>
        <v>০৩৬২</v>
      </c>
      <c r="H2863" s="75" t="s">
        <v>371</v>
      </c>
      <c r="I2863" s="75" t="s">
        <v>371</v>
      </c>
      <c r="J2863" s="5"/>
    </row>
    <row r="2864" spans="1:10" x14ac:dyDescent="0.25">
      <c r="A2864" s="39">
        <v>2863</v>
      </c>
      <c r="B2864" s="3" t="s">
        <v>3729</v>
      </c>
      <c r="C2864" s="75" t="s">
        <v>2477</v>
      </c>
      <c r="D2864" s="75" t="s">
        <v>1370</v>
      </c>
      <c r="E2864" s="75" t="str">
        <f>"০"</f>
        <v>০</v>
      </c>
      <c r="F2864" s="22" t="str">
        <f>"8119457814213"</f>
        <v>8119457814213</v>
      </c>
      <c r="G2864" s="75" t="str">
        <f>"০৩৬১"</f>
        <v>০৩৬১</v>
      </c>
      <c r="H2864" s="75" t="s">
        <v>371</v>
      </c>
      <c r="I2864" s="75" t="s">
        <v>371</v>
      </c>
      <c r="J2864" s="5"/>
    </row>
    <row r="2865" spans="1:10" x14ac:dyDescent="0.25">
      <c r="A2865" s="39">
        <v>2864</v>
      </c>
      <c r="B2865" s="3" t="s">
        <v>3230</v>
      </c>
      <c r="C2865" s="75" t="s">
        <v>3730</v>
      </c>
      <c r="D2865" s="75" t="s">
        <v>1370</v>
      </c>
      <c r="E2865" s="75" t="str">
        <f>"০১৭৩৮৬৬২৮৫২"</f>
        <v>০১৭৩৮৬৬২৮৫২</v>
      </c>
      <c r="F2865" s="22" t="str">
        <f>"8119457814287"</f>
        <v>8119457814287</v>
      </c>
      <c r="G2865" s="75" t="str">
        <f>"০৩৬০"</f>
        <v>০৩৬০</v>
      </c>
      <c r="H2865" s="75" t="s">
        <v>371</v>
      </c>
      <c r="I2865" s="75" t="s">
        <v>371</v>
      </c>
      <c r="J2865" s="5"/>
    </row>
    <row r="2866" spans="1:10" x14ac:dyDescent="0.25">
      <c r="A2866" s="39">
        <v>2865</v>
      </c>
      <c r="B2866" s="3" t="s">
        <v>3731</v>
      </c>
      <c r="C2866" s="75" t="s">
        <v>3695</v>
      </c>
      <c r="D2866" s="75" t="s">
        <v>1370</v>
      </c>
      <c r="E2866" s="75" t="str">
        <f>"০১৭১৩৭৭৫৪৭০"</f>
        <v>০১৭১৩৭৭৫৪৭০</v>
      </c>
      <c r="F2866" s="22" t="str">
        <f>"8119457814276"</f>
        <v>8119457814276</v>
      </c>
      <c r="G2866" s="75" t="str">
        <f>"০৩৫৯"</f>
        <v>০৩৫৯</v>
      </c>
      <c r="H2866" s="75" t="s">
        <v>322</v>
      </c>
      <c r="I2866" s="75" t="s">
        <v>322</v>
      </c>
      <c r="J2866" s="5"/>
    </row>
    <row r="2867" spans="1:10" x14ac:dyDescent="0.25">
      <c r="A2867" s="39">
        <v>2866</v>
      </c>
      <c r="B2867" s="3" t="s">
        <v>1810</v>
      </c>
      <c r="C2867" s="75" t="s">
        <v>3732</v>
      </c>
      <c r="D2867" s="75" t="s">
        <v>1370</v>
      </c>
      <c r="E2867" s="75" t="str">
        <f>"০১৭৭০৩৫২৮৮২"</f>
        <v>০১৭৭০৩৫২৮৮২</v>
      </c>
      <c r="F2867" s="22" t="str">
        <f>"8119457814289"</f>
        <v>8119457814289</v>
      </c>
      <c r="G2867" s="75" t="str">
        <f>"০৩৫৮"</f>
        <v>০৩৫৮</v>
      </c>
      <c r="H2867" s="75" t="s">
        <v>371</v>
      </c>
      <c r="I2867" s="75" t="s">
        <v>371</v>
      </c>
      <c r="J2867" s="5"/>
    </row>
    <row r="2868" spans="1:10" x14ac:dyDescent="0.25">
      <c r="A2868" s="39">
        <v>2867</v>
      </c>
      <c r="B2868" s="3" t="s">
        <v>1682</v>
      </c>
      <c r="C2868" s="75" t="s">
        <v>1697</v>
      </c>
      <c r="D2868" s="75" t="s">
        <v>1370</v>
      </c>
      <c r="E2868" s="75" t="str">
        <f>"০১৭৩৪১৬২৮৪৯"</f>
        <v>০১৭৩৪১৬২৮৪৯</v>
      </c>
      <c r="F2868" s="22" t="str">
        <f>"8119457814243"</f>
        <v>8119457814243</v>
      </c>
      <c r="G2868" s="75" t="str">
        <f>"০৩৫৭"</f>
        <v>০৩৫৭</v>
      </c>
      <c r="H2868" s="75" t="s">
        <v>329</v>
      </c>
      <c r="I2868" s="75" t="s">
        <v>329</v>
      </c>
      <c r="J2868" s="5"/>
    </row>
    <row r="2869" spans="1:10" x14ac:dyDescent="0.25">
      <c r="A2869" s="39">
        <v>2868</v>
      </c>
      <c r="B2869" s="3" t="s">
        <v>3733</v>
      </c>
      <c r="C2869" s="75" t="s">
        <v>3734</v>
      </c>
      <c r="D2869" s="75" t="s">
        <v>1370</v>
      </c>
      <c r="E2869" s="75" t="str">
        <f>"০১৭৩৯২৭৯৯৫৪"</f>
        <v>০১৭৩৯২৭৯৯৫৪</v>
      </c>
      <c r="F2869" s="22" t="str">
        <f>"8119457814244"</f>
        <v>8119457814244</v>
      </c>
      <c r="G2869" s="75" t="str">
        <f>"০৩৫৬"</f>
        <v>০৩৫৬</v>
      </c>
      <c r="H2869" s="75" t="s">
        <v>371</v>
      </c>
      <c r="I2869" s="75" t="s">
        <v>371</v>
      </c>
      <c r="J2869" s="5"/>
    </row>
    <row r="2870" spans="1:10" x14ac:dyDescent="0.25">
      <c r="A2870" s="39">
        <v>2869</v>
      </c>
      <c r="B2870" s="3" t="s">
        <v>3735</v>
      </c>
      <c r="C2870" s="75" t="s">
        <v>3734</v>
      </c>
      <c r="D2870" s="75" t="s">
        <v>1370</v>
      </c>
      <c r="E2870" s="75" t="str">
        <f>"০"</f>
        <v>০</v>
      </c>
      <c r="F2870" s="22" t="str">
        <f>"8119457814247"</f>
        <v>8119457814247</v>
      </c>
      <c r="G2870" s="75" t="str">
        <f>"০৩৫৫"</f>
        <v>০৩৫৫</v>
      </c>
      <c r="H2870" s="75" t="s">
        <v>371</v>
      </c>
      <c r="I2870" s="75" t="s">
        <v>371</v>
      </c>
      <c r="J2870" s="5"/>
    </row>
    <row r="2871" spans="1:10" x14ac:dyDescent="0.25">
      <c r="A2871" s="39">
        <v>2870</v>
      </c>
      <c r="B2871" s="3" t="s">
        <v>3736</v>
      </c>
      <c r="C2871" s="75" t="s">
        <v>3737</v>
      </c>
      <c r="D2871" s="75" t="s">
        <v>1370</v>
      </c>
      <c r="E2871" s="75" t="str">
        <f>"০১৭৩১৬৫৮৯০৫"</f>
        <v>০১৭৩১৬৫৮৯০৫</v>
      </c>
      <c r="F2871" s="22" t="str">
        <f>"8119457814239"</f>
        <v>8119457814239</v>
      </c>
      <c r="G2871" s="75" t="str">
        <f>"০৩৫৪"</f>
        <v>০৩৫৪</v>
      </c>
      <c r="H2871" s="75" t="s">
        <v>371</v>
      </c>
      <c r="I2871" s="75" t="s">
        <v>371</v>
      </c>
      <c r="J2871" s="5"/>
    </row>
    <row r="2872" spans="1:10" x14ac:dyDescent="0.25">
      <c r="A2872" s="39">
        <v>2871</v>
      </c>
      <c r="B2872" s="3" t="s">
        <v>3738</v>
      </c>
      <c r="C2872" s="75" t="s">
        <v>3739</v>
      </c>
      <c r="D2872" s="75" t="s">
        <v>1370</v>
      </c>
      <c r="E2872" s="75" t="str">
        <f>"০১৭৪০৯৪২৪৪১"</f>
        <v>০১৭৪০৯৪২৪৪১</v>
      </c>
      <c r="F2872" s="22" t="str">
        <f>"8119457814306"</f>
        <v>8119457814306</v>
      </c>
      <c r="G2872" s="75" t="str">
        <f>"০৩৫৩"</f>
        <v>০৩৫৩</v>
      </c>
      <c r="H2872" s="75" t="s">
        <v>371</v>
      </c>
      <c r="I2872" s="75" t="s">
        <v>371</v>
      </c>
      <c r="J2872" s="5"/>
    </row>
    <row r="2873" spans="1:10" x14ac:dyDescent="0.25">
      <c r="A2873" s="39">
        <v>2872</v>
      </c>
      <c r="B2873" s="3" t="s">
        <v>2477</v>
      </c>
      <c r="C2873" s="75" t="s">
        <v>3527</v>
      </c>
      <c r="D2873" s="75" t="s">
        <v>1370</v>
      </c>
      <c r="E2873" s="75" t="str">
        <f>"০"</f>
        <v>০</v>
      </c>
      <c r="F2873" s="22" t="str">
        <f>"8119457814341"</f>
        <v>8119457814341</v>
      </c>
      <c r="G2873" s="75" t="str">
        <f>"০৩৫২"</f>
        <v>০৩৫২</v>
      </c>
      <c r="H2873" s="75" t="s">
        <v>322</v>
      </c>
      <c r="I2873" s="75" t="s">
        <v>322</v>
      </c>
      <c r="J2873" s="5"/>
    </row>
    <row r="2874" spans="1:10" x14ac:dyDescent="0.25">
      <c r="A2874" s="39">
        <v>2873</v>
      </c>
      <c r="B2874" s="3" t="s">
        <v>3740</v>
      </c>
      <c r="C2874" s="75" t="s">
        <v>2477</v>
      </c>
      <c r="D2874" s="75" t="s">
        <v>1370</v>
      </c>
      <c r="E2874" s="75" t="str">
        <f>"০১৭৪৭৫৬০৫৯৫"</f>
        <v>০১৭৪৭৫৬০৫৯৫</v>
      </c>
      <c r="F2874" s="22" t="str">
        <f>"8119457814376"</f>
        <v>8119457814376</v>
      </c>
      <c r="G2874" s="75" t="str">
        <f>"০৩৫১"</f>
        <v>০৩৫১</v>
      </c>
      <c r="H2874" s="75" t="s">
        <v>322</v>
      </c>
      <c r="I2874" s="75" t="s">
        <v>322</v>
      </c>
      <c r="J2874" s="5"/>
    </row>
    <row r="2875" spans="1:10" x14ac:dyDescent="0.25">
      <c r="A2875" s="39">
        <v>2874</v>
      </c>
      <c r="B2875" s="3" t="s">
        <v>2836</v>
      </c>
      <c r="C2875" s="75" t="s">
        <v>3741</v>
      </c>
      <c r="D2875" s="75" t="s">
        <v>1474</v>
      </c>
      <c r="E2875" s="75" t="str">
        <f>"০"</f>
        <v>০</v>
      </c>
      <c r="F2875" s="22" t="str">
        <f>"8119457813080"</f>
        <v>8119457813080</v>
      </c>
      <c r="G2875" s="75" t="str">
        <f>"০৩৫০"</f>
        <v>০৩৫০</v>
      </c>
      <c r="H2875" s="75" t="s">
        <v>371</v>
      </c>
      <c r="I2875" s="75" t="s">
        <v>371</v>
      </c>
      <c r="J2875" s="5"/>
    </row>
    <row r="2876" spans="1:10" x14ac:dyDescent="0.25">
      <c r="A2876" s="39">
        <v>2875</v>
      </c>
      <c r="B2876" s="3" t="s">
        <v>1837</v>
      </c>
      <c r="C2876" s="75" t="s">
        <v>3325</v>
      </c>
      <c r="D2876" s="75" t="s">
        <v>1474</v>
      </c>
      <c r="E2876" s="75" t="str">
        <f>"০"</f>
        <v>০</v>
      </c>
      <c r="F2876" s="22" t="str">
        <f>"8119457813495"</f>
        <v>8119457813495</v>
      </c>
      <c r="G2876" s="75" t="str">
        <f>"০৩৪৯"</f>
        <v>০৩৪৯</v>
      </c>
      <c r="H2876" s="75" t="s">
        <v>371</v>
      </c>
      <c r="I2876" s="75" t="s">
        <v>371</v>
      </c>
      <c r="J2876" s="5"/>
    </row>
    <row r="2877" spans="1:10" x14ac:dyDescent="0.25">
      <c r="A2877" s="39">
        <v>2876</v>
      </c>
      <c r="B2877" s="3" t="s">
        <v>3345</v>
      </c>
      <c r="C2877" s="75" t="s">
        <v>1635</v>
      </c>
      <c r="D2877" s="75" t="s">
        <v>1474</v>
      </c>
      <c r="E2877" s="75" t="str">
        <f>"০১৭৫১১০৩৫৯৫"</f>
        <v>০১৭৫১১০৩৫৯৫</v>
      </c>
      <c r="F2877" s="22" t="str">
        <f>"8119457813656"</f>
        <v>8119457813656</v>
      </c>
      <c r="G2877" s="75" t="str">
        <f>"০৩৪৮"</f>
        <v>০৩৪৮</v>
      </c>
      <c r="H2877" s="75" t="s">
        <v>371</v>
      </c>
      <c r="I2877" s="75" t="s">
        <v>371</v>
      </c>
      <c r="J2877" s="5"/>
    </row>
    <row r="2878" spans="1:10" x14ac:dyDescent="0.25">
      <c r="A2878" s="39">
        <v>2877</v>
      </c>
      <c r="B2878" s="3" t="s">
        <v>3742</v>
      </c>
      <c r="C2878" s="75" t="s">
        <v>3743</v>
      </c>
      <c r="D2878" s="75" t="s">
        <v>1474</v>
      </c>
      <c r="E2878" s="75" t="str">
        <f>"০"</f>
        <v>০</v>
      </c>
      <c r="F2878" s="22" t="str">
        <f>"8119457813549"</f>
        <v>8119457813549</v>
      </c>
      <c r="G2878" s="75" t="str">
        <f>"০৩৪৭"</f>
        <v>০৩৪৭</v>
      </c>
      <c r="H2878" s="75" t="s">
        <v>371</v>
      </c>
      <c r="I2878" s="75" t="s">
        <v>371</v>
      </c>
      <c r="J2878" s="5"/>
    </row>
    <row r="2879" spans="1:10" x14ac:dyDescent="0.25">
      <c r="A2879" s="39">
        <v>2878</v>
      </c>
      <c r="B2879" s="3" t="s">
        <v>3744</v>
      </c>
      <c r="C2879" s="75" t="s">
        <v>3745</v>
      </c>
      <c r="D2879" s="75" t="s">
        <v>1474</v>
      </c>
      <c r="E2879" s="75" t="str">
        <f>"০১৭৩০৯১৯০৫৪"</f>
        <v>০১৭৩০৯১৯০৫৪</v>
      </c>
      <c r="F2879" s="22" t="str">
        <f>"8119457814944"</f>
        <v>8119457814944</v>
      </c>
      <c r="G2879" s="75" t="str">
        <f>"০৩৪৬"</f>
        <v>০৩৪৬</v>
      </c>
      <c r="H2879" s="75" t="s">
        <v>371</v>
      </c>
      <c r="I2879" s="75" t="s">
        <v>371</v>
      </c>
      <c r="J2879" s="5"/>
    </row>
    <row r="2880" spans="1:10" x14ac:dyDescent="0.25">
      <c r="A2880" s="39">
        <v>2879</v>
      </c>
      <c r="B2880" s="3" t="s">
        <v>3746</v>
      </c>
      <c r="C2880" s="75" t="s">
        <v>3747</v>
      </c>
      <c r="D2880" s="75" t="s">
        <v>1474</v>
      </c>
      <c r="E2880" s="75" t="str">
        <f>"০১৭৩০৯০২৮৮৬"</f>
        <v>০১৭৩০৯০২৮৮৬</v>
      </c>
      <c r="F2880" s="22" t="str">
        <f>"8119457813049"</f>
        <v>8119457813049</v>
      </c>
      <c r="G2880" s="75" t="str">
        <f>"০৩৪৫"</f>
        <v>০৩৪৫</v>
      </c>
      <c r="H2880" s="75" t="s">
        <v>322</v>
      </c>
      <c r="I2880" s="75" t="s">
        <v>322</v>
      </c>
      <c r="J2880" s="5"/>
    </row>
    <row r="2881" spans="1:10" x14ac:dyDescent="0.25">
      <c r="A2881" s="39">
        <v>2880</v>
      </c>
      <c r="B2881" s="11" t="s">
        <v>1659</v>
      </c>
      <c r="C2881" s="75" t="s">
        <v>3748</v>
      </c>
      <c r="D2881" s="75" t="s">
        <v>1474</v>
      </c>
      <c r="E2881" s="75" t="str">
        <f>"০১৭৩৪৮২৯০২০"</f>
        <v>০১৭৩৪৮২৯০২০</v>
      </c>
      <c r="F2881" s="22" t="str">
        <f>"8119457000164"</f>
        <v>8119457000164</v>
      </c>
      <c r="G2881" s="75" t="str">
        <f>"০৩৪৪"</f>
        <v>০৩৪৪</v>
      </c>
      <c r="H2881" s="75" t="s">
        <v>371</v>
      </c>
      <c r="I2881" s="75" t="s">
        <v>371</v>
      </c>
      <c r="J2881" s="5"/>
    </row>
    <row r="2882" spans="1:10" x14ac:dyDescent="0.25">
      <c r="A2882" s="39">
        <v>2881</v>
      </c>
      <c r="B2882" s="3" t="s">
        <v>1791</v>
      </c>
      <c r="C2882" s="75" t="s">
        <v>3749</v>
      </c>
      <c r="D2882" s="75" t="s">
        <v>1474</v>
      </c>
      <c r="E2882" s="75" t="str">
        <f>"০"</f>
        <v>০</v>
      </c>
      <c r="F2882" s="22" t="str">
        <f>"8119457814178"</f>
        <v>8119457814178</v>
      </c>
      <c r="G2882" s="75" t="str">
        <f>"০৩৪৩"</f>
        <v>০৩৪৩</v>
      </c>
      <c r="H2882" s="75" t="s">
        <v>371</v>
      </c>
      <c r="I2882" s="75" t="s">
        <v>371</v>
      </c>
      <c r="J2882" s="5"/>
    </row>
    <row r="2883" spans="1:10" x14ac:dyDescent="0.25">
      <c r="A2883" s="39">
        <v>2882</v>
      </c>
      <c r="B2883" s="3" t="s">
        <v>2254</v>
      </c>
      <c r="C2883" s="75" t="s">
        <v>1553</v>
      </c>
      <c r="D2883" s="75" t="s">
        <v>1474</v>
      </c>
      <c r="E2883" s="75" t="str">
        <f>"০১৭৩৪৮২৯০২০"</f>
        <v>০১৭৩৪৮২৯০২০</v>
      </c>
      <c r="F2883" s="22" t="str">
        <f>"8119457813064"</f>
        <v>8119457813064</v>
      </c>
      <c r="G2883" s="75" t="str">
        <f>"০৩৪২"</f>
        <v>০৩৪২</v>
      </c>
      <c r="H2883" s="75" t="s">
        <v>371</v>
      </c>
      <c r="I2883" s="75" t="s">
        <v>371</v>
      </c>
      <c r="J2883" s="5"/>
    </row>
    <row r="2884" spans="1:10" x14ac:dyDescent="0.25">
      <c r="A2884" s="39">
        <v>2883</v>
      </c>
      <c r="B2884" s="11" t="s">
        <v>2596</v>
      </c>
      <c r="C2884" s="75" t="s">
        <v>2623</v>
      </c>
      <c r="D2884" s="75" t="s">
        <v>1474</v>
      </c>
      <c r="E2884" s="75" t="str">
        <f>"০"</f>
        <v>০</v>
      </c>
      <c r="F2884" s="22" t="str">
        <f>"8119457814917"</f>
        <v>8119457814917</v>
      </c>
      <c r="G2884" s="75" t="str">
        <f>"০৩৪১"</f>
        <v>০৩৪১</v>
      </c>
      <c r="H2884" s="75" t="s">
        <v>371</v>
      </c>
      <c r="I2884" s="75" t="s">
        <v>371</v>
      </c>
      <c r="J2884" s="5"/>
    </row>
    <row r="2885" spans="1:10" x14ac:dyDescent="0.25">
      <c r="A2885" s="39">
        <v>2884</v>
      </c>
      <c r="B2885" s="3" t="s">
        <v>3750</v>
      </c>
      <c r="C2885" s="75" t="s">
        <v>3751</v>
      </c>
      <c r="D2885" s="75" t="s">
        <v>1474</v>
      </c>
      <c r="E2885" s="75" t="str">
        <f>"০"</f>
        <v>০</v>
      </c>
      <c r="F2885" s="22" t="str">
        <f>"8119457813619"</f>
        <v>8119457813619</v>
      </c>
      <c r="G2885" s="75" t="str">
        <f>"০৩৪০"</f>
        <v>০৩৪০</v>
      </c>
      <c r="H2885" s="75" t="s">
        <v>371</v>
      </c>
      <c r="I2885" s="75" t="s">
        <v>371</v>
      </c>
      <c r="J2885" s="5"/>
    </row>
    <row r="2886" spans="1:10" x14ac:dyDescent="0.25">
      <c r="A2886" s="39">
        <v>2885</v>
      </c>
      <c r="B2886" s="3" t="s">
        <v>2075</v>
      </c>
      <c r="C2886" s="75" t="s">
        <v>3752</v>
      </c>
      <c r="D2886" s="75" t="s">
        <v>1474</v>
      </c>
      <c r="E2886" s="75" t="str">
        <f>"০১৭৪০৯১০৪৩৬"</f>
        <v>০১৭৪০৯১০৪৩৬</v>
      </c>
      <c r="F2886" s="22" t="str">
        <f>"8119457813075"</f>
        <v>8119457813075</v>
      </c>
      <c r="G2886" s="75" t="str">
        <f>"০৩৩৯"</f>
        <v>০৩৩৯</v>
      </c>
      <c r="H2886" s="75" t="s">
        <v>371</v>
      </c>
      <c r="I2886" s="75" t="s">
        <v>371</v>
      </c>
      <c r="J2886" s="5"/>
    </row>
    <row r="2887" spans="1:10" x14ac:dyDescent="0.25">
      <c r="A2887" s="39">
        <v>2886</v>
      </c>
      <c r="B2887" s="3" t="s">
        <v>3753</v>
      </c>
      <c r="C2887" s="75" t="s">
        <v>1759</v>
      </c>
      <c r="D2887" s="75" t="s">
        <v>1474</v>
      </c>
      <c r="E2887" s="75" t="str">
        <f>"০"</f>
        <v>০</v>
      </c>
      <c r="F2887" s="22" t="str">
        <f>"8119457000072"</f>
        <v>8119457000072</v>
      </c>
      <c r="G2887" s="75" t="str">
        <f>"০৩৩৮"</f>
        <v>০৩৩৮</v>
      </c>
      <c r="H2887" s="75" t="s">
        <v>322</v>
      </c>
      <c r="I2887" s="75" t="s">
        <v>322</v>
      </c>
      <c r="J2887" s="5"/>
    </row>
    <row r="2888" spans="1:10" x14ac:dyDescent="0.25">
      <c r="A2888" s="39">
        <v>2887</v>
      </c>
      <c r="B2888" s="3" t="s">
        <v>3754</v>
      </c>
      <c r="C2888" s="75" t="s">
        <v>1555</v>
      </c>
      <c r="D2888" s="75" t="s">
        <v>1474</v>
      </c>
      <c r="E2888" s="75" t="str">
        <f>"০"</f>
        <v>০</v>
      </c>
      <c r="F2888" s="22" t="str">
        <f>"8119457813010"</f>
        <v>8119457813010</v>
      </c>
      <c r="G2888" s="75" t="str">
        <f>"০৩৩৭"</f>
        <v>০৩৩৭</v>
      </c>
      <c r="H2888" s="75" t="s">
        <v>371</v>
      </c>
      <c r="I2888" s="75" t="s">
        <v>371</v>
      </c>
      <c r="J2888" s="5"/>
    </row>
    <row r="2889" spans="1:10" x14ac:dyDescent="0.25">
      <c r="A2889" s="39">
        <v>2888</v>
      </c>
      <c r="B2889" s="3" t="s">
        <v>3755</v>
      </c>
      <c r="C2889" s="75" t="s">
        <v>3458</v>
      </c>
      <c r="D2889" s="75" t="s">
        <v>1474</v>
      </c>
      <c r="E2889" s="75" t="str">
        <f>"০"</f>
        <v>০</v>
      </c>
      <c r="F2889" s="22" t="str">
        <f>"8119457813570"</f>
        <v>8119457813570</v>
      </c>
      <c r="G2889" s="75" t="str">
        <f>"০৩৩৬"</f>
        <v>০৩৩৬</v>
      </c>
      <c r="H2889" s="75" t="s">
        <v>329</v>
      </c>
      <c r="I2889" s="75" t="s">
        <v>329</v>
      </c>
      <c r="J2889" s="5"/>
    </row>
    <row r="2890" spans="1:10" x14ac:dyDescent="0.25">
      <c r="A2890" s="39">
        <v>2889</v>
      </c>
      <c r="B2890" s="3" t="s">
        <v>3756</v>
      </c>
      <c r="C2890" s="75" t="s">
        <v>3225</v>
      </c>
      <c r="D2890" s="75" t="s">
        <v>1474</v>
      </c>
      <c r="E2890" s="75" t="str">
        <f>"০"</f>
        <v>০</v>
      </c>
      <c r="F2890" s="22" t="str">
        <f>"8119457813490"</f>
        <v>8119457813490</v>
      </c>
      <c r="G2890" s="75" t="str">
        <f>"০৩৩৫"</f>
        <v>০৩৩৫</v>
      </c>
      <c r="H2890" s="75" t="s">
        <v>319</v>
      </c>
      <c r="I2890" s="75" t="s">
        <v>319</v>
      </c>
      <c r="J2890" s="5"/>
    </row>
    <row r="2891" spans="1:10" x14ac:dyDescent="0.25">
      <c r="A2891" s="39">
        <v>2890</v>
      </c>
      <c r="B2891" s="3" t="s">
        <v>3757</v>
      </c>
      <c r="C2891" s="75" t="s">
        <v>3462</v>
      </c>
      <c r="D2891" s="75" t="s">
        <v>1474</v>
      </c>
      <c r="E2891" s="75" t="str">
        <f>"০১৭৪৩৯০০১০৮"</f>
        <v>০১৭৪৩৯০০১০৮</v>
      </c>
      <c r="F2891" s="22" t="str">
        <f>"8119457813537"</f>
        <v>8119457813537</v>
      </c>
      <c r="G2891" s="75" t="str">
        <f>"০৩৩৪"</f>
        <v>০৩৩৪</v>
      </c>
      <c r="H2891" s="75" t="s">
        <v>319</v>
      </c>
      <c r="I2891" s="75" t="s">
        <v>319</v>
      </c>
      <c r="J2891" s="5"/>
    </row>
    <row r="2892" spans="1:10" x14ac:dyDescent="0.25">
      <c r="A2892" s="39">
        <v>2891</v>
      </c>
      <c r="B2892" s="3" t="s">
        <v>3758</v>
      </c>
      <c r="C2892" s="75" t="s">
        <v>3759</v>
      </c>
      <c r="D2892" s="75" t="s">
        <v>1474</v>
      </c>
      <c r="E2892" s="75" t="str">
        <f>"০"</f>
        <v>০</v>
      </c>
      <c r="F2892" s="22" t="str">
        <f>"8119457813626"</f>
        <v>8119457813626</v>
      </c>
      <c r="G2892" s="75" t="str">
        <f>"০৩৩৩"</f>
        <v>০৩৩৩</v>
      </c>
      <c r="H2892" s="75" t="s">
        <v>319</v>
      </c>
      <c r="I2892" s="75" t="s">
        <v>319</v>
      </c>
      <c r="J2892" s="5"/>
    </row>
    <row r="2893" spans="1:10" x14ac:dyDescent="0.25">
      <c r="A2893" s="39">
        <v>2892</v>
      </c>
      <c r="B2893" s="11" t="s">
        <v>1780</v>
      </c>
      <c r="C2893" s="75" t="s">
        <v>3760</v>
      </c>
      <c r="D2893" s="75" t="s">
        <v>1474</v>
      </c>
      <c r="E2893" s="75" t="str">
        <f>"০"</f>
        <v>০</v>
      </c>
      <c r="F2893" s="22" t="str">
        <f>"8119457813579"</f>
        <v>8119457813579</v>
      </c>
      <c r="G2893" s="75" t="str">
        <f>"০৩৩২"</f>
        <v>০৩৩২</v>
      </c>
      <c r="H2893" s="75" t="s">
        <v>322</v>
      </c>
      <c r="I2893" s="75" t="s">
        <v>322</v>
      </c>
      <c r="J2893" s="5"/>
    </row>
    <row r="2894" spans="1:10" x14ac:dyDescent="0.25">
      <c r="A2894" s="39">
        <v>2893</v>
      </c>
      <c r="B2894" s="3" t="s">
        <v>1777</v>
      </c>
      <c r="C2894" s="75" t="s">
        <v>3325</v>
      </c>
      <c r="D2894" s="75" t="s">
        <v>1474</v>
      </c>
      <c r="E2894" s="75" t="str">
        <f>"০"</f>
        <v>০</v>
      </c>
      <c r="F2894" s="22" t="str">
        <f>"8119457813492"</f>
        <v>8119457813492</v>
      </c>
      <c r="G2894" s="75" t="str">
        <f>"০৩৩১"</f>
        <v>০৩৩১</v>
      </c>
      <c r="H2894" s="75" t="s">
        <v>371</v>
      </c>
      <c r="I2894" s="75" t="s">
        <v>371</v>
      </c>
      <c r="J2894" s="5"/>
    </row>
    <row r="2895" spans="1:10" x14ac:dyDescent="0.25">
      <c r="A2895" s="39">
        <v>2894</v>
      </c>
      <c r="B2895" s="3" t="s">
        <v>3761</v>
      </c>
      <c r="C2895" s="75" t="s">
        <v>3762</v>
      </c>
      <c r="D2895" s="75" t="s">
        <v>1474</v>
      </c>
      <c r="E2895" s="75" t="str">
        <f>"০১৭৩৫৮৫১২০৬"</f>
        <v>০১৭৩৫৮৫১২০৬</v>
      </c>
      <c r="F2895" s="22" t="str">
        <f>"8119457813642"</f>
        <v>8119457813642</v>
      </c>
      <c r="G2895" s="75" t="str">
        <f>"০৩৩০"</f>
        <v>০৩৩০</v>
      </c>
      <c r="H2895" s="75" t="s">
        <v>319</v>
      </c>
      <c r="I2895" s="75" t="s">
        <v>319</v>
      </c>
      <c r="J2895" s="5"/>
    </row>
    <row r="2896" spans="1:10" x14ac:dyDescent="0.25">
      <c r="A2896" s="39">
        <v>2895</v>
      </c>
      <c r="B2896" s="3" t="s">
        <v>3763</v>
      </c>
      <c r="C2896" s="75" t="s">
        <v>3462</v>
      </c>
      <c r="D2896" s="75" t="s">
        <v>1474</v>
      </c>
      <c r="E2896" s="75" t="str">
        <f>"০"</f>
        <v>০</v>
      </c>
      <c r="F2896" s="22" t="str">
        <f>"8119457813535"</f>
        <v>8119457813535</v>
      </c>
      <c r="G2896" s="75" t="str">
        <f>"০৩২৯"</f>
        <v>০৩২৯</v>
      </c>
      <c r="H2896" s="75" t="s">
        <v>322</v>
      </c>
      <c r="I2896" s="75" t="s">
        <v>322</v>
      </c>
      <c r="J2896" s="5"/>
    </row>
    <row r="2897" spans="1:10" x14ac:dyDescent="0.25">
      <c r="A2897" s="39">
        <v>2896</v>
      </c>
      <c r="B2897" s="3" t="s">
        <v>3764</v>
      </c>
      <c r="C2897" s="75" t="s">
        <v>3765</v>
      </c>
      <c r="D2897" s="75" t="s">
        <v>1474</v>
      </c>
      <c r="E2897" s="75" t="str">
        <f>"০"</f>
        <v>০</v>
      </c>
      <c r="F2897" s="22" t="str">
        <f>"8119457814123"</f>
        <v>8119457814123</v>
      </c>
      <c r="G2897" s="75" t="str">
        <f>"০৩২৮"</f>
        <v>০৩২৮</v>
      </c>
      <c r="H2897" s="75" t="s">
        <v>319</v>
      </c>
      <c r="I2897" s="75" t="s">
        <v>319</v>
      </c>
      <c r="J2897" s="5"/>
    </row>
    <row r="2898" spans="1:10" x14ac:dyDescent="0.25">
      <c r="A2898" s="39">
        <v>2897</v>
      </c>
      <c r="B2898" s="3" t="s">
        <v>3766</v>
      </c>
      <c r="C2898" s="75" t="s">
        <v>3348</v>
      </c>
      <c r="D2898" s="75" t="s">
        <v>1474</v>
      </c>
      <c r="E2898" s="75" t="str">
        <f>"০"</f>
        <v>০</v>
      </c>
      <c r="F2898" s="22" t="str">
        <f>"8119457813672"</f>
        <v>8119457813672</v>
      </c>
      <c r="G2898" s="75" t="str">
        <f>"০৩২৭"</f>
        <v>০৩২৭</v>
      </c>
      <c r="H2898" s="75" t="s">
        <v>319</v>
      </c>
      <c r="I2898" s="75" t="s">
        <v>319</v>
      </c>
      <c r="J2898" s="5"/>
    </row>
    <row r="2899" spans="1:10" x14ac:dyDescent="0.25">
      <c r="A2899" s="39">
        <v>2898</v>
      </c>
      <c r="B2899" s="3" t="s">
        <v>3767</v>
      </c>
      <c r="C2899" s="75" t="s">
        <v>3768</v>
      </c>
      <c r="D2899" s="75" t="s">
        <v>1474</v>
      </c>
      <c r="E2899" s="75" t="str">
        <f>"০১৭৪৩৬৬০৪৭২"</f>
        <v>০১৭৪৩৬৬০৪৭২</v>
      </c>
      <c r="F2899" s="22" t="str">
        <f>"8119457814949"</f>
        <v>8119457814949</v>
      </c>
      <c r="G2899" s="75" t="str">
        <f>"০৩২৬"</f>
        <v>০৩২৬</v>
      </c>
      <c r="H2899" s="75" t="s">
        <v>322</v>
      </c>
      <c r="I2899" s="75" t="s">
        <v>322</v>
      </c>
      <c r="J2899" s="5"/>
    </row>
    <row r="2900" spans="1:10" x14ac:dyDescent="0.25">
      <c r="A2900" s="39">
        <v>2899</v>
      </c>
      <c r="B2900" s="3" t="s">
        <v>3769</v>
      </c>
      <c r="C2900" s="75" t="s">
        <v>3759</v>
      </c>
      <c r="D2900" s="75" t="s">
        <v>1474</v>
      </c>
      <c r="E2900" s="75" t="str">
        <f t="shared" ref="E2900:E2905" si="54">"০"</f>
        <v>০</v>
      </c>
      <c r="F2900" s="22" t="str">
        <f>"8119457813629"</f>
        <v>8119457813629</v>
      </c>
      <c r="G2900" s="75" t="str">
        <f>"০৩২৫"</f>
        <v>০৩২৫</v>
      </c>
      <c r="H2900" s="75" t="s">
        <v>371</v>
      </c>
      <c r="I2900" s="75" t="s">
        <v>371</v>
      </c>
      <c r="J2900" s="5"/>
    </row>
    <row r="2901" spans="1:10" x14ac:dyDescent="0.25">
      <c r="A2901" s="39">
        <v>2900</v>
      </c>
      <c r="B2901" s="3" t="s">
        <v>3770</v>
      </c>
      <c r="C2901" s="75" t="s">
        <v>3771</v>
      </c>
      <c r="D2901" s="75" t="s">
        <v>1474</v>
      </c>
      <c r="E2901" s="75" t="str">
        <f t="shared" si="54"/>
        <v>০</v>
      </c>
      <c r="F2901" s="22" t="str">
        <f>"8119457814045"</f>
        <v>8119457814045</v>
      </c>
      <c r="G2901" s="75" t="str">
        <f>"০৩২৪"</f>
        <v>০৩২৪</v>
      </c>
      <c r="H2901" s="75" t="s">
        <v>371</v>
      </c>
      <c r="I2901" s="75" t="s">
        <v>371</v>
      </c>
      <c r="J2901" s="5"/>
    </row>
    <row r="2902" spans="1:10" x14ac:dyDescent="0.25">
      <c r="A2902" s="39">
        <v>2901</v>
      </c>
      <c r="B2902" s="3" t="s">
        <v>3772</v>
      </c>
      <c r="C2902" s="75" t="s">
        <v>3325</v>
      </c>
      <c r="D2902" s="75" t="s">
        <v>1474</v>
      </c>
      <c r="E2902" s="75" t="str">
        <f t="shared" si="54"/>
        <v>০</v>
      </c>
      <c r="F2902" s="22" t="str">
        <f>"8119457813497"</f>
        <v>8119457813497</v>
      </c>
      <c r="G2902" s="75" t="str">
        <f>"০৩২৩"</f>
        <v>০৩২৩</v>
      </c>
      <c r="H2902" s="75" t="s">
        <v>315</v>
      </c>
      <c r="I2902" s="75" t="s">
        <v>315</v>
      </c>
      <c r="J2902" s="5"/>
    </row>
    <row r="2903" spans="1:10" x14ac:dyDescent="0.25">
      <c r="A2903" s="39">
        <v>2902</v>
      </c>
      <c r="B2903" s="3" t="s">
        <v>3767</v>
      </c>
      <c r="C2903" s="75" t="s">
        <v>3773</v>
      </c>
      <c r="D2903" s="75" t="s">
        <v>1474</v>
      </c>
      <c r="E2903" s="75" t="str">
        <f t="shared" si="54"/>
        <v>০</v>
      </c>
      <c r="F2903" s="22" t="str">
        <f>"8119457814967"</f>
        <v>8119457814967</v>
      </c>
      <c r="G2903" s="75" t="str">
        <f>"০৩২২"</f>
        <v>০৩২২</v>
      </c>
      <c r="H2903" s="75" t="s">
        <v>319</v>
      </c>
      <c r="I2903" s="75" t="s">
        <v>319</v>
      </c>
      <c r="J2903" s="5"/>
    </row>
    <row r="2904" spans="1:10" x14ac:dyDescent="0.25">
      <c r="A2904" s="39">
        <v>2903</v>
      </c>
      <c r="B2904" s="3" t="s">
        <v>3774</v>
      </c>
      <c r="C2904" s="75" t="s">
        <v>3775</v>
      </c>
      <c r="D2904" s="75" t="s">
        <v>1474</v>
      </c>
      <c r="E2904" s="75" t="str">
        <f t="shared" si="54"/>
        <v>০</v>
      </c>
      <c r="F2904" s="22" t="str">
        <f>"8119457813545"</f>
        <v>8119457813545</v>
      </c>
      <c r="G2904" s="75" t="str">
        <f>"০৩২১"</f>
        <v>০৩২১</v>
      </c>
      <c r="H2904" s="75" t="s">
        <v>319</v>
      </c>
      <c r="I2904" s="75" t="s">
        <v>319</v>
      </c>
      <c r="J2904" s="5"/>
    </row>
    <row r="2905" spans="1:10" x14ac:dyDescent="0.25">
      <c r="A2905" s="39">
        <v>2904</v>
      </c>
      <c r="B2905" s="3" t="s">
        <v>3776</v>
      </c>
      <c r="C2905" s="75" t="s">
        <v>1871</v>
      </c>
      <c r="D2905" s="75" t="s">
        <v>1474</v>
      </c>
      <c r="E2905" s="75" t="str">
        <f t="shared" si="54"/>
        <v>০</v>
      </c>
      <c r="F2905" s="22" t="str">
        <f>"8119457814130"</f>
        <v>8119457814130</v>
      </c>
      <c r="G2905" s="75" t="str">
        <f>"০৩২০"</f>
        <v>০৩২০</v>
      </c>
      <c r="H2905" s="75" t="s">
        <v>371</v>
      </c>
      <c r="I2905" s="75" t="s">
        <v>371</v>
      </c>
      <c r="J2905" s="5"/>
    </row>
    <row r="2906" spans="1:10" x14ac:dyDescent="0.25">
      <c r="A2906" s="39">
        <v>2905</v>
      </c>
      <c r="B2906" s="3" t="s">
        <v>3777</v>
      </c>
      <c r="C2906" s="75" t="s">
        <v>3778</v>
      </c>
      <c r="D2906" s="75" t="s">
        <v>1474</v>
      </c>
      <c r="E2906" s="75" t="str">
        <f>"০১৭৩৮৭৯৯৩৮৯"</f>
        <v>০১৭৩৮৭৯৯৩৮৯</v>
      </c>
      <c r="F2906" s="22" t="str">
        <f>"8119457812930"</f>
        <v>8119457812930</v>
      </c>
      <c r="G2906" s="75" t="str">
        <f>"০৩১৯"</f>
        <v>০৩১৯</v>
      </c>
      <c r="H2906" s="75" t="s">
        <v>329</v>
      </c>
      <c r="I2906" s="75" t="s">
        <v>329</v>
      </c>
      <c r="J2906" s="5"/>
    </row>
    <row r="2907" spans="1:10" x14ac:dyDescent="0.25">
      <c r="A2907" s="39">
        <v>2906</v>
      </c>
      <c r="B2907" s="3" t="s">
        <v>3779</v>
      </c>
      <c r="C2907" s="75" t="s">
        <v>3780</v>
      </c>
      <c r="D2907" s="75" t="s">
        <v>1474</v>
      </c>
      <c r="E2907" s="75" t="str">
        <f>"০১৭৬৩৮৮৭৭০৪"</f>
        <v>০১৭৬৩৮৮৭৭০৪</v>
      </c>
      <c r="F2907" s="22" t="str">
        <f>"8119457812908"</f>
        <v>8119457812908</v>
      </c>
      <c r="G2907" s="75" t="str">
        <f>"০৩১৮"</f>
        <v>০৩১৮</v>
      </c>
      <c r="H2907" s="75" t="s">
        <v>322</v>
      </c>
      <c r="I2907" s="75" t="s">
        <v>322</v>
      </c>
      <c r="J2907" s="5"/>
    </row>
    <row r="2908" spans="1:10" x14ac:dyDescent="0.25">
      <c r="A2908" s="39">
        <v>2907</v>
      </c>
      <c r="B2908" s="3" t="s">
        <v>3781</v>
      </c>
      <c r="C2908" s="75" t="s">
        <v>3782</v>
      </c>
      <c r="D2908" s="75" t="s">
        <v>1474</v>
      </c>
      <c r="E2908" s="75" t="str">
        <f>"০১৭৪৪৫৬৩৯৩৬"</f>
        <v>০১৭৪৪৫৬৩৯৩৬</v>
      </c>
      <c r="F2908" s="22" t="str">
        <f>"8119457000281"</f>
        <v>8119457000281</v>
      </c>
      <c r="G2908" s="75" t="str">
        <f>"০৩১৭"</f>
        <v>০৩১৭</v>
      </c>
      <c r="H2908" s="75" t="s">
        <v>319</v>
      </c>
      <c r="I2908" s="75" t="s">
        <v>319</v>
      </c>
      <c r="J2908" s="5"/>
    </row>
    <row r="2909" spans="1:10" x14ac:dyDescent="0.25">
      <c r="A2909" s="39">
        <v>2908</v>
      </c>
      <c r="B2909" s="3" t="s">
        <v>3783</v>
      </c>
      <c r="C2909" s="75" t="s">
        <v>3784</v>
      </c>
      <c r="D2909" s="75" t="s">
        <v>1474</v>
      </c>
      <c r="E2909" s="75" t="str">
        <f>"০১৭৩৫১৩৬৮০৭"</f>
        <v>০১৭৩৫১৩৬৮০৭</v>
      </c>
      <c r="F2909" s="22" t="str">
        <f>"8119457812540"</f>
        <v>8119457812540</v>
      </c>
      <c r="G2909" s="75" t="str">
        <f>"০৩১৬"</f>
        <v>০৩১৬</v>
      </c>
      <c r="H2909" s="75" t="s">
        <v>330</v>
      </c>
      <c r="I2909" s="75" t="s">
        <v>330</v>
      </c>
      <c r="J2909" s="5"/>
    </row>
    <row r="2910" spans="1:10" x14ac:dyDescent="0.25">
      <c r="A2910" s="39">
        <v>2909</v>
      </c>
      <c r="B2910" s="3" t="s">
        <v>3785</v>
      </c>
      <c r="C2910" s="75" t="s">
        <v>3786</v>
      </c>
      <c r="D2910" s="75" t="s">
        <v>1474</v>
      </c>
      <c r="E2910" s="75" t="str">
        <f>"০১৭২৯৭৫৩৩৯২"</f>
        <v>০১৭২৯৭৫৩৩৯২</v>
      </c>
      <c r="F2910" s="22" t="str">
        <f>"8119457000007"</f>
        <v>8119457000007</v>
      </c>
      <c r="G2910" s="75" t="str">
        <f>"০৩১৫"</f>
        <v>০৩১৫</v>
      </c>
      <c r="H2910" s="75" t="s">
        <v>329</v>
      </c>
      <c r="I2910" s="75" t="s">
        <v>329</v>
      </c>
      <c r="J2910" s="5"/>
    </row>
    <row r="2911" spans="1:10" x14ac:dyDescent="0.25">
      <c r="A2911" s="39">
        <v>2910</v>
      </c>
      <c r="B2911" s="3" t="s">
        <v>3787</v>
      </c>
      <c r="C2911" s="75" t="s">
        <v>3788</v>
      </c>
      <c r="D2911" s="75" t="s">
        <v>1474</v>
      </c>
      <c r="E2911" s="75" t="str">
        <f>"০"</f>
        <v>০</v>
      </c>
      <c r="F2911" s="22" t="str">
        <f>"8119457814257"</f>
        <v>8119457814257</v>
      </c>
      <c r="G2911" s="75" t="str">
        <f>"০৩১৪"</f>
        <v>০৩১৪</v>
      </c>
      <c r="H2911" s="75" t="s">
        <v>322</v>
      </c>
      <c r="I2911" s="75" t="s">
        <v>322</v>
      </c>
      <c r="J2911" s="5"/>
    </row>
    <row r="2912" spans="1:10" x14ac:dyDescent="0.25">
      <c r="A2912" s="39">
        <v>2911</v>
      </c>
      <c r="B2912" s="3" t="s">
        <v>3789</v>
      </c>
      <c r="C2912" s="75" t="s">
        <v>3790</v>
      </c>
      <c r="D2912" s="75" t="s">
        <v>1474</v>
      </c>
      <c r="E2912" s="75" t="str">
        <f>"০"</f>
        <v>০</v>
      </c>
      <c r="F2912" s="22" t="str">
        <f>"8119457812771"</f>
        <v>8119457812771</v>
      </c>
      <c r="G2912" s="75" t="str">
        <f>"০৩১৩"</f>
        <v>০৩১৩</v>
      </c>
      <c r="H2912" s="75" t="s">
        <v>319</v>
      </c>
      <c r="I2912" s="75" t="s">
        <v>319</v>
      </c>
      <c r="J2912" s="5"/>
    </row>
    <row r="2913" spans="1:10" x14ac:dyDescent="0.25">
      <c r="A2913" s="39">
        <v>2912</v>
      </c>
      <c r="B2913" s="3" t="s">
        <v>3791</v>
      </c>
      <c r="C2913" s="75" t="s">
        <v>3792</v>
      </c>
      <c r="D2913" s="75" t="s">
        <v>1474</v>
      </c>
      <c r="E2913" s="75" t="str">
        <f>"০১৭৪৮৯০২১৭৫"</f>
        <v>০১৭৪৮৯০২১৭৫</v>
      </c>
      <c r="F2913" s="22" t="str">
        <f>"8119457810141"</f>
        <v>8119457810141</v>
      </c>
      <c r="G2913" s="75" t="str">
        <f>"০৩১২"</f>
        <v>০৩১২</v>
      </c>
      <c r="H2913" s="75" t="s">
        <v>456</v>
      </c>
      <c r="I2913" s="75" t="s">
        <v>456</v>
      </c>
      <c r="J2913" s="5"/>
    </row>
    <row r="2914" spans="1:10" x14ac:dyDescent="0.25">
      <c r="A2914" s="39">
        <v>2913</v>
      </c>
      <c r="B2914" s="3" t="s">
        <v>1854</v>
      </c>
      <c r="C2914" s="75" t="s">
        <v>3793</v>
      </c>
      <c r="D2914" s="75" t="s">
        <v>1474</v>
      </c>
      <c r="E2914" s="75" t="str">
        <f>"০"</f>
        <v>০</v>
      </c>
      <c r="F2914" s="22" t="str">
        <f>"8119457813960"</f>
        <v>8119457813960</v>
      </c>
      <c r="G2914" s="75" t="str">
        <f>"০৩১১"</f>
        <v>০৩১১</v>
      </c>
      <c r="H2914" s="75" t="s">
        <v>1394</v>
      </c>
      <c r="I2914" s="75" t="s">
        <v>1394</v>
      </c>
      <c r="J2914" s="5"/>
    </row>
    <row r="2915" spans="1:10" x14ac:dyDescent="0.25">
      <c r="A2915" s="39">
        <v>2914</v>
      </c>
      <c r="B2915" s="3" t="s">
        <v>3794</v>
      </c>
      <c r="C2915" s="75" t="s">
        <v>3795</v>
      </c>
      <c r="D2915" s="75" t="s">
        <v>1474</v>
      </c>
      <c r="E2915" s="75" t="str">
        <f>"০১৭৯৫২২৬২৫২"</f>
        <v>০১৭৯৫২২৬২৫২</v>
      </c>
      <c r="F2915" s="22" t="str">
        <f>"8119457814771"</f>
        <v>8119457814771</v>
      </c>
      <c r="G2915" s="75" t="str">
        <f>"০৩১০"</f>
        <v>০৩১০</v>
      </c>
      <c r="H2915" s="75" t="s">
        <v>319</v>
      </c>
      <c r="I2915" s="75" t="s">
        <v>319</v>
      </c>
      <c r="J2915" s="5"/>
    </row>
    <row r="2916" spans="1:10" x14ac:dyDescent="0.25">
      <c r="A2916" s="39">
        <v>2915</v>
      </c>
      <c r="B2916" s="3" t="s">
        <v>3796</v>
      </c>
      <c r="C2916" s="75" t="s">
        <v>3797</v>
      </c>
      <c r="D2916" s="75" t="s">
        <v>1474</v>
      </c>
      <c r="E2916" s="75" t="str">
        <f>"০"</f>
        <v>০</v>
      </c>
      <c r="F2916" s="22" t="str">
        <f>"8119457812980"</f>
        <v>8119457812980</v>
      </c>
      <c r="G2916" s="75" t="str">
        <f>"০৩০৯"</f>
        <v>০৩০৯</v>
      </c>
      <c r="H2916" s="75" t="s">
        <v>456</v>
      </c>
      <c r="I2916" s="75" t="s">
        <v>456</v>
      </c>
      <c r="J2916" s="5"/>
    </row>
    <row r="2917" spans="1:10" x14ac:dyDescent="0.25">
      <c r="A2917" s="39">
        <v>2916</v>
      </c>
      <c r="B2917" s="3" t="s">
        <v>3798</v>
      </c>
      <c r="C2917" s="75" t="s">
        <v>3797</v>
      </c>
      <c r="D2917" s="75" t="s">
        <v>1474</v>
      </c>
      <c r="E2917" s="75" t="str">
        <f>"০"</f>
        <v>০</v>
      </c>
      <c r="F2917" s="22" t="str">
        <f>"8119457812978"</f>
        <v>8119457812978</v>
      </c>
      <c r="G2917" s="75" t="str">
        <f>"০৩০৮"</f>
        <v>০৩০৮</v>
      </c>
      <c r="H2917" s="75" t="s">
        <v>330</v>
      </c>
      <c r="I2917" s="75" t="s">
        <v>330</v>
      </c>
      <c r="J2917" s="5"/>
    </row>
    <row r="2918" spans="1:10" x14ac:dyDescent="0.25">
      <c r="A2918" s="39">
        <v>2917</v>
      </c>
      <c r="B2918" s="3" t="s">
        <v>3799</v>
      </c>
      <c r="C2918" s="75" t="s">
        <v>3800</v>
      </c>
      <c r="D2918" s="75" t="s">
        <v>1474</v>
      </c>
      <c r="E2918" s="75" t="str">
        <f>"০১৭২২০৬৯০২০"</f>
        <v>০১৭২২০৬৯০২০</v>
      </c>
      <c r="F2918" s="22" t="str">
        <f>"8119457812919"</f>
        <v>8119457812919</v>
      </c>
      <c r="G2918" s="75" t="str">
        <f>"০৩০৭"</f>
        <v>০৩০৭</v>
      </c>
      <c r="H2918" s="75" t="s">
        <v>319</v>
      </c>
      <c r="I2918" s="75" t="s">
        <v>319</v>
      </c>
      <c r="J2918" s="5"/>
    </row>
    <row r="2919" spans="1:10" x14ac:dyDescent="0.25">
      <c r="A2919" s="39">
        <v>2918</v>
      </c>
      <c r="B2919" s="3" t="s">
        <v>3793</v>
      </c>
      <c r="C2919" s="75" t="s">
        <v>3801</v>
      </c>
      <c r="D2919" s="75" t="s">
        <v>1474</v>
      </c>
      <c r="E2919" s="75" t="str">
        <f>"০"</f>
        <v>০</v>
      </c>
      <c r="F2919" s="22" t="str">
        <f>"8119457813984"</f>
        <v>8119457813984</v>
      </c>
      <c r="G2919" s="75" t="str">
        <f>"০৩০৬"</f>
        <v>০৩০৬</v>
      </c>
      <c r="H2919" s="75" t="s">
        <v>322</v>
      </c>
      <c r="I2919" s="75" t="s">
        <v>322</v>
      </c>
      <c r="J2919" s="5"/>
    </row>
    <row r="2920" spans="1:10" x14ac:dyDescent="0.25">
      <c r="A2920" s="39">
        <v>2919</v>
      </c>
      <c r="B2920" s="3" t="s">
        <v>3802</v>
      </c>
      <c r="C2920" s="75" t="s">
        <v>3793</v>
      </c>
      <c r="D2920" s="75" t="s">
        <v>1474</v>
      </c>
      <c r="E2920" s="75" t="str">
        <f>"০"</f>
        <v>০</v>
      </c>
      <c r="F2920" s="22" t="str">
        <f>"8119457813982"</f>
        <v>8119457813982</v>
      </c>
      <c r="G2920" s="75" t="str">
        <f>"০৩০৫"</f>
        <v>০৩০৫</v>
      </c>
      <c r="H2920" s="75" t="s">
        <v>364</v>
      </c>
      <c r="I2920" s="75" t="s">
        <v>364</v>
      </c>
      <c r="J2920" s="5"/>
    </row>
    <row r="2921" spans="1:10" x14ac:dyDescent="0.25">
      <c r="A2921" s="39">
        <v>2920</v>
      </c>
      <c r="B2921" s="3" t="s">
        <v>3803</v>
      </c>
      <c r="C2921" s="75" t="s">
        <v>1830</v>
      </c>
      <c r="D2921" s="75" t="s">
        <v>1474</v>
      </c>
      <c r="E2921" s="75" t="str">
        <f>"০"</f>
        <v>০</v>
      </c>
      <c r="F2921" s="22" t="str">
        <f>"8119457812998"</f>
        <v>8119457812998</v>
      </c>
      <c r="G2921" s="75" t="str">
        <f>"০৩০৪"</f>
        <v>০৩০৪</v>
      </c>
      <c r="H2921" s="75" t="s">
        <v>319</v>
      </c>
      <c r="I2921" s="75" t="s">
        <v>319</v>
      </c>
      <c r="J2921" s="5"/>
    </row>
    <row r="2922" spans="1:10" x14ac:dyDescent="0.25">
      <c r="A2922" s="39">
        <v>2921</v>
      </c>
      <c r="B2922" s="3" t="s">
        <v>3804</v>
      </c>
      <c r="C2922" s="75" t="s">
        <v>3805</v>
      </c>
      <c r="D2922" s="75" t="s">
        <v>1474</v>
      </c>
      <c r="E2922" s="75" t="str">
        <f>"০"</f>
        <v>০</v>
      </c>
      <c r="F2922" s="22" t="str">
        <f>"8119457814871"</f>
        <v>8119457814871</v>
      </c>
      <c r="G2922" s="75" t="str">
        <f>"০৩০৩"</f>
        <v>০৩০৩</v>
      </c>
      <c r="H2922" s="75" t="s">
        <v>329</v>
      </c>
      <c r="I2922" s="75" t="s">
        <v>329</v>
      </c>
      <c r="J2922" s="5"/>
    </row>
    <row r="2923" spans="1:10" x14ac:dyDescent="0.25">
      <c r="A2923" s="39">
        <v>2922</v>
      </c>
      <c r="B2923" s="3" t="s">
        <v>1719</v>
      </c>
      <c r="C2923" s="75" t="s">
        <v>3232</v>
      </c>
      <c r="D2923" s="75" t="s">
        <v>1474</v>
      </c>
      <c r="E2923" s="75" t="str">
        <f>"০১৭১৪৯৪৪২০৮"</f>
        <v>০১৭১৪৯৪৪২০৮</v>
      </c>
      <c r="F2923" s="22" t="str">
        <f>"8119457814971"</f>
        <v>8119457814971</v>
      </c>
      <c r="G2923" s="75" t="str">
        <f>"০৩০২"</f>
        <v>০৩০২</v>
      </c>
      <c r="H2923" s="75" t="s">
        <v>330</v>
      </c>
      <c r="I2923" s="75" t="s">
        <v>330</v>
      </c>
      <c r="J2923" s="5"/>
    </row>
    <row r="2924" spans="1:10" x14ac:dyDescent="0.25">
      <c r="A2924" s="39">
        <v>2923</v>
      </c>
      <c r="B2924" s="3" t="s">
        <v>2892</v>
      </c>
      <c r="C2924" s="75" t="s">
        <v>1657</v>
      </c>
      <c r="D2924" s="75" t="s">
        <v>1474</v>
      </c>
      <c r="E2924" s="75" t="str">
        <f>"০১৭২৪৪৮৭০৯৯"</f>
        <v>০১৭২৪৪৮৭০৯৯</v>
      </c>
      <c r="F2924" s="22" t="str">
        <f>"8119457813302"</f>
        <v>8119457813302</v>
      </c>
      <c r="G2924" s="75" t="str">
        <f>"০৩০১"</f>
        <v>০৩০১</v>
      </c>
      <c r="H2924" s="75" t="s">
        <v>319</v>
      </c>
      <c r="I2924" s="75" t="s">
        <v>319</v>
      </c>
      <c r="J2924" s="5"/>
    </row>
    <row r="2925" spans="1:10" x14ac:dyDescent="0.25">
      <c r="A2925" s="39">
        <v>2924</v>
      </c>
      <c r="B2925" s="3" t="s">
        <v>3806</v>
      </c>
      <c r="C2925" s="75" t="s">
        <v>3807</v>
      </c>
      <c r="D2925" s="75" t="s">
        <v>1474</v>
      </c>
      <c r="E2925" s="75" t="str">
        <f>"০"</f>
        <v>০</v>
      </c>
      <c r="F2925" s="22" t="str">
        <f>"8119457814883"</f>
        <v>8119457814883</v>
      </c>
      <c r="G2925" s="75" t="str">
        <f>"০৩০০"</f>
        <v>০৩০০</v>
      </c>
      <c r="H2925" s="75" t="s">
        <v>319</v>
      </c>
      <c r="I2925" s="75" t="s">
        <v>319</v>
      </c>
      <c r="J2925" s="5"/>
    </row>
    <row r="2926" spans="1:10" x14ac:dyDescent="0.25">
      <c r="A2926" s="39">
        <v>2925</v>
      </c>
      <c r="B2926" s="3" t="s">
        <v>3808</v>
      </c>
      <c r="C2926" s="75" t="s">
        <v>3809</v>
      </c>
      <c r="D2926" s="75" t="s">
        <v>1474</v>
      </c>
      <c r="E2926" s="75" t="str">
        <f>"০১৭২৬৭৭৭৭৯০"</f>
        <v>০১৭২৬৭৭৭৭৯০</v>
      </c>
      <c r="F2926" s="22" t="str">
        <f>"8119457813435"</f>
        <v>8119457813435</v>
      </c>
      <c r="G2926" s="75" t="str">
        <f>"০২৯৯"</f>
        <v>০২৯৯</v>
      </c>
      <c r="H2926" s="75" t="s">
        <v>330</v>
      </c>
      <c r="I2926" s="75" t="s">
        <v>330</v>
      </c>
      <c r="J2926" s="5"/>
    </row>
    <row r="2927" spans="1:10" x14ac:dyDescent="0.25">
      <c r="A2927" s="39">
        <v>2926</v>
      </c>
      <c r="B2927" s="3" t="s">
        <v>2892</v>
      </c>
      <c r="C2927" s="75" t="s">
        <v>3714</v>
      </c>
      <c r="D2927" s="75" t="s">
        <v>1474</v>
      </c>
      <c r="E2927" s="75" t="str">
        <f>"০১৭৩১৩৭৬৩০৩"</f>
        <v>০১৭৩১৩৭৬৩০৩</v>
      </c>
      <c r="F2927" s="22" t="str">
        <f>"8119457813412"</f>
        <v>8119457813412</v>
      </c>
      <c r="G2927" s="75" t="str">
        <f>"০২৯৮"</f>
        <v>০২৯৮</v>
      </c>
      <c r="H2927" s="75" t="s">
        <v>319</v>
      </c>
      <c r="I2927" s="75" t="s">
        <v>319</v>
      </c>
      <c r="J2927" s="5"/>
    </row>
    <row r="2928" spans="1:10" x14ac:dyDescent="0.25">
      <c r="A2928" s="39">
        <v>2927</v>
      </c>
      <c r="B2928" s="3" t="s">
        <v>3810</v>
      </c>
      <c r="C2928" s="75" t="s">
        <v>3811</v>
      </c>
      <c r="D2928" s="75" t="s">
        <v>1474</v>
      </c>
      <c r="E2928" s="75" t="str">
        <f>"০১৭২২১৮০৭২৪"</f>
        <v>০১৭২২১৮০৭২৪</v>
      </c>
      <c r="F2928" s="22" t="str">
        <f>"8119457813403"</f>
        <v>8119457813403</v>
      </c>
      <c r="G2928" s="75" t="str">
        <f>"০২৯৭"</f>
        <v>০২৯৭</v>
      </c>
      <c r="H2928" s="75" t="s">
        <v>329</v>
      </c>
      <c r="I2928" s="75" t="s">
        <v>329</v>
      </c>
      <c r="J2928" s="5"/>
    </row>
    <row r="2929" spans="1:10" x14ac:dyDescent="0.25">
      <c r="A2929" s="39">
        <v>2928</v>
      </c>
      <c r="B2929" s="3" t="s">
        <v>3812</v>
      </c>
      <c r="C2929" s="75" t="s">
        <v>1830</v>
      </c>
      <c r="D2929" s="75" t="s">
        <v>1474</v>
      </c>
      <c r="E2929" s="75" t="str">
        <f>"০"</f>
        <v>০</v>
      </c>
      <c r="F2929" s="22" t="str">
        <f>"8119457812999"</f>
        <v>8119457812999</v>
      </c>
      <c r="G2929" s="75" t="str">
        <f>"০২৯৬"</f>
        <v>০২৯৬</v>
      </c>
      <c r="H2929" s="75" t="s">
        <v>315</v>
      </c>
      <c r="I2929" s="75" t="s">
        <v>315</v>
      </c>
      <c r="J2929" s="5"/>
    </row>
    <row r="2930" spans="1:10" x14ac:dyDescent="0.25">
      <c r="A2930" s="39">
        <v>2929</v>
      </c>
      <c r="B2930" s="3" t="s">
        <v>3813</v>
      </c>
      <c r="C2930" s="75" t="s">
        <v>3814</v>
      </c>
      <c r="D2930" s="75" t="s">
        <v>1474</v>
      </c>
      <c r="E2930" s="75" t="str">
        <f>"০১৭৪৬১০১৮৪৪"</f>
        <v>০১৭৪৬১০১৮৪৪</v>
      </c>
      <c r="F2930" s="22" t="str">
        <f>"8119457813316"</f>
        <v>8119457813316</v>
      </c>
      <c r="G2930" s="75" t="str">
        <f>"০২৯৫"</f>
        <v>০২৯৫</v>
      </c>
      <c r="H2930" s="75" t="s">
        <v>322</v>
      </c>
      <c r="I2930" s="75" t="s">
        <v>322</v>
      </c>
      <c r="J2930" s="5"/>
    </row>
    <row r="2931" spans="1:10" x14ac:dyDescent="0.25">
      <c r="A2931" s="39">
        <v>2930</v>
      </c>
      <c r="B2931" s="3" t="s">
        <v>3815</v>
      </c>
      <c r="C2931" s="75" t="s">
        <v>3816</v>
      </c>
      <c r="D2931" s="75" t="s">
        <v>1474</v>
      </c>
      <c r="E2931" s="75" t="str">
        <f>"০১৭৫৩৬১৮৩৮৫"</f>
        <v>০১৭৫৩৬১৮৩৮৫</v>
      </c>
      <c r="F2931" s="22" t="str">
        <f>"8119457813585"</f>
        <v>8119457813585</v>
      </c>
      <c r="G2931" s="75" t="str">
        <f>"০২৯৪"</f>
        <v>০২৯৪</v>
      </c>
      <c r="H2931" s="75" t="s">
        <v>319</v>
      </c>
      <c r="I2931" s="75" t="s">
        <v>319</v>
      </c>
      <c r="J2931" s="5"/>
    </row>
    <row r="2932" spans="1:10" x14ac:dyDescent="0.25">
      <c r="A2932" s="39">
        <v>2931</v>
      </c>
      <c r="B2932" s="3" t="s">
        <v>3780</v>
      </c>
      <c r="C2932" s="75" t="s">
        <v>3817</v>
      </c>
      <c r="D2932" s="75" t="s">
        <v>1474</v>
      </c>
      <c r="E2932" s="75" t="str">
        <f>"০"</f>
        <v>০</v>
      </c>
      <c r="F2932" s="22" t="str">
        <f>"8119457812907"</f>
        <v>8119457812907</v>
      </c>
      <c r="G2932" s="75" t="str">
        <f>"০২৯৩"</f>
        <v>০২৯৩</v>
      </c>
      <c r="H2932" s="75" t="s">
        <v>319</v>
      </c>
      <c r="I2932" s="75" t="s">
        <v>319</v>
      </c>
      <c r="J2932" s="5"/>
    </row>
    <row r="2933" spans="1:10" x14ac:dyDescent="0.25">
      <c r="A2933" s="39">
        <v>2932</v>
      </c>
      <c r="B2933" s="3" t="s">
        <v>3818</v>
      </c>
      <c r="C2933" s="75" t="s">
        <v>1734</v>
      </c>
      <c r="D2933" s="75" t="s">
        <v>1474</v>
      </c>
      <c r="E2933" s="75" t="str">
        <f>"০১৭৩৯২৭৮৫৭৪"</f>
        <v>০১৭৩৯২৭৮৫৭৪</v>
      </c>
      <c r="F2933" s="22" t="str">
        <f>"8119457813445"</f>
        <v>8119457813445</v>
      </c>
      <c r="G2933" s="75" t="str">
        <f>"০২৯২"</f>
        <v>০২৯২</v>
      </c>
      <c r="H2933" s="75" t="s">
        <v>319</v>
      </c>
      <c r="I2933" s="75" t="s">
        <v>319</v>
      </c>
      <c r="J2933" s="5"/>
    </row>
    <row r="2934" spans="1:10" x14ac:dyDescent="0.25">
      <c r="A2934" s="39">
        <v>2933</v>
      </c>
      <c r="B2934" s="3" t="s">
        <v>3819</v>
      </c>
      <c r="C2934" s="75" t="s">
        <v>3820</v>
      </c>
      <c r="D2934" s="75" t="s">
        <v>1474</v>
      </c>
      <c r="E2934" s="75" t="str">
        <f>"০"</f>
        <v>০</v>
      </c>
      <c r="F2934" s="22" t="str">
        <f>"8119457812785"</f>
        <v>8119457812785</v>
      </c>
      <c r="G2934" s="75" t="str">
        <f>"০২৯১"</f>
        <v>০২৯১</v>
      </c>
      <c r="H2934" s="75" t="s">
        <v>456</v>
      </c>
      <c r="I2934" s="75" t="s">
        <v>456</v>
      </c>
      <c r="J2934" s="5"/>
    </row>
    <row r="2935" spans="1:10" x14ac:dyDescent="0.25">
      <c r="A2935" s="39">
        <v>2934</v>
      </c>
      <c r="B2935" s="3" t="s">
        <v>3821</v>
      </c>
      <c r="C2935" s="75" t="s">
        <v>3822</v>
      </c>
      <c r="D2935" s="75" t="s">
        <v>1474</v>
      </c>
      <c r="E2935" s="75" t="str">
        <f>"০"</f>
        <v>০</v>
      </c>
      <c r="F2935" s="22" t="str">
        <f>"8119457813020"</f>
        <v>8119457813020</v>
      </c>
      <c r="G2935" s="75" t="str">
        <f>"০২৯০"</f>
        <v>০২৯০</v>
      </c>
      <c r="H2935" s="75" t="s">
        <v>319</v>
      </c>
      <c r="I2935" s="75" t="s">
        <v>319</v>
      </c>
      <c r="J2935" s="5"/>
    </row>
    <row r="2936" spans="1:10" x14ac:dyDescent="0.25">
      <c r="A2936" s="39">
        <v>2935</v>
      </c>
      <c r="B2936" s="3" t="s">
        <v>1679</v>
      </c>
      <c r="C2936" s="75" t="s">
        <v>3823</v>
      </c>
      <c r="D2936" s="75" t="s">
        <v>1474</v>
      </c>
      <c r="E2936" s="75" t="str">
        <f>"০"</f>
        <v>০</v>
      </c>
      <c r="F2936" s="22" t="str">
        <f>"8119457814920"</f>
        <v>8119457814920</v>
      </c>
      <c r="G2936" s="75" t="str">
        <f>"০২৮৯"</f>
        <v>০২৮৯</v>
      </c>
      <c r="H2936" s="75" t="s">
        <v>319</v>
      </c>
      <c r="I2936" s="75" t="s">
        <v>319</v>
      </c>
      <c r="J2936" s="5"/>
    </row>
    <row r="2937" spans="1:10" x14ac:dyDescent="0.25">
      <c r="A2937" s="39">
        <v>2936</v>
      </c>
      <c r="B2937" s="3" t="s">
        <v>3824</v>
      </c>
      <c r="C2937" s="75" t="s">
        <v>3825</v>
      </c>
      <c r="D2937" s="75" t="s">
        <v>1474</v>
      </c>
      <c r="E2937" s="75" t="str">
        <f>"০১৭৪৮২৮৫৬০"</f>
        <v>০১৭৪৮২৮৫৬০</v>
      </c>
      <c r="F2937" s="22" t="str">
        <f>"8119457813240"</f>
        <v>8119457813240</v>
      </c>
      <c r="G2937" s="75" t="str">
        <f>"০২৮৮"</f>
        <v>০২৮৮</v>
      </c>
      <c r="H2937" s="75" t="s">
        <v>1394</v>
      </c>
      <c r="I2937" s="75" t="s">
        <v>1394</v>
      </c>
      <c r="J2937" s="5"/>
    </row>
    <row r="2938" spans="1:10" x14ac:dyDescent="0.25">
      <c r="A2938" s="39">
        <v>2937</v>
      </c>
      <c r="B2938" s="3" t="s">
        <v>3826</v>
      </c>
      <c r="C2938" s="75" t="s">
        <v>3295</v>
      </c>
      <c r="D2938" s="75" t="s">
        <v>1474</v>
      </c>
      <c r="E2938" s="75" t="str">
        <f>"০"</f>
        <v>০</v>
      </c>
      <c r="F2938" s="22" t="str">
        <f>"8119457810001"</f>
        <v>8119457810001</v>
      </c>
      <c r="G2938" s="75" t="str">
        <f>"০২৮৭"</f>
        <v>০২৮৭</v>
      </c>
      <c r="H2938" s="75" t="s">
        <v>319</v>
      </c>
      <c r="I2938" s="75" t="s">
        <v>319</v>
      </c>
      <c r="J2938" s="5"/>
    </row>
    <row r="2939" spans="1:10" x14ac:dyDescent="0.25">
      <c r="A2939" s="39">
        <v>2938</v>
      </c>
      <c r="B2939" s="3" t="s">
        <v>1830</v>
      </c>
      <c r="C2939" s="75" t="s">
        <v>3827</v>
      </c>
      <c r="D2939" s="75" t="s">
        <v>1474</v>
      </c>
      <c r="E2939" s="75" t="str">
        <f>"০"</f>
        <v>০</v>
      </c>
      <c r="F2939" s="22" t="str">
        <f>"8119457812997"</f>
        <v>8119457812997</v>
      </c>
      <c r="G2939" s="75" t="str">
        <f>"০২৮৬"</f>
        <v>০২৮৬</v>
      </c>
      <c r="H2939" s="75" t="s">
        <v>319</v>
      </c>
      <c r="I2939" s="75" t="s">
        <v>319</v>
      </c>
      <c r="J2939" s="5"/>
    </row>
    <row r="2940" spans="1:10" x14ac:dyDescent="0.25">
      <c r="A2940" s="39">
        <v>2939</v>
      </c>
      <c r="B2940" s="3" t="s">
        <v>3271</v>
      </c>
      <c r="C2940" s="75" t="s">
        <v>3828</v>
      </c>
      <c r="D2940" s="75" t="s">
        <v>1474</v>
      </c>
      <c r="E2940" s="75" t="str">
        <f>"০১৭১৩৭৯৭০"</f>
        <v>০১৭১৩৭৯৭০</v>
      </c>
      <c r="F2940" s="22" t="str">
        <f>"8119457813122"</f>
        <v>8119457813122</v>
      </c>
      <c r="G2940" s="75" t="str">
        <f>"০২৮৫"</f>
        <v>০২৮৫</v>
      </c>
      <c r="H2940" s="75" t="s">
        <v>456</v>
      </c>
      <c r="I2940" s="75" t="s">
        <v>456</v>
      </c>
      <c r="J2940" s="5"/>
    </row>
    <row r="2941" spans="1:10" x14ac:dyDescent="0.25">
      <c r="A2941" s="39">
        <v>2940</v>
      </c>
      <c r="B2941" s="3" t="s">
        <v>1563</v>
      </c>
      <c r="C2941" s="75" t="s">
        <v>3829</v>
      </c>
      <c r="D2941" s="75" t="s">
        <v>1474</v>
      </c>
      <c r="E2941" s="75" t="str">
        <f>"০১৭৪০৮৫৭৬৯২"</f>
        <v>০১৭৪০৮৫৭৬৯২</v>
      </c>
      <c r="F2941" s="22" t="str">
        <f>"8119457813135"</f>
        <v>8119457813135</v>
      </c>
      <c r="G2941" s="75" t="str">
        <f>"০২৮৪"</f>
        <v>০২৮৪</v>
      </c>
      <c r="H2941" s="75" t="s">
        <v>322</v>
      </c>
      <c r="I2941" s="75" t="s">
        <v>322</v>
      </c>
      <c r="J2941" s="5"/>
    </row>
    <row r="2942" spans="1:10" x14ac:dyDescent="0.25">
      <c r="A2942" s="39">
        <v>2941</v>
      </c>
      <c r="B2942" s="3" t="s">
        <v>3830</v>
      </c>
      <c r="C2942" s="75" t="s">
        <v>3831</v>
      </c>
      <c r="D2942" s="75" t="s">
        <v>1474</v>
      </c>
      <c r="E2942" s="75" t="str">
        <f>"০১৭৯১৪৫০৯১৭"</f>
        <v>০১৭৯১৪৫০৯১৭</v>
      </c>
      <c r="F2942" s="22" t="str">
        <f>"8119457812638"</f>
        <v>8119457812638</v>
      </c>
      <c r="G2942" s="75" t="str">
        <f>"০২৮৩"</f>
        <v>০২৮৩</v>
      </c>
      <c r="H2942" s="75" t="s">
        <v>1434</v>
      </c>
      <c r="I2942" s="75" t="s">
        <v>1434</v>
      </c>
      <c r="J2942" s="5"/>
    </row>
    <row r="2943" spans="1:10" x14ac:dyDescent="0.25">
      <c r="A2943" s="39">
        <v>2942</v>
      </c>
      <c r="B2943" s="3" t="s">
        <v>3832</v>
      </c>
      <c r="C2943" s="75" t="s">
        <v>3833</v>
      </c>
      <c r="D2943" s="75" t="s">
        <v>1474</v>
      </c>
      <c r="E2943" s="75" t="str">
        <f>"০১৭৪৬৭৫২২৭৫"</f>
        <v>০১৭৪৬৭৫২২৭৫</v>
      </c>
      <c r="F2943" s="22" t="str">
        <f>"8119457813362"</f>
        <v>8119457813362</v>
      </c>
      <c r="G2943" s="75" t="str">
        <f>"০২৮২"</f>
        <v>০২৮২</v>
      </c>
      <c r="H2943" s="75" t="s">
        <v>319</v>
      </c>
      <c r="I2943" s="75" t="s">
        <v>319</v>
      </c>
      <c r="J2943" s="5"/>
    </row>
    <row r="2944" spans="1:10" x14ac:dyDescent="0.25">
      <c r="A2944" s="39">
        <v>2943</v>
      </c>
      <c r="B2944" s="3" t="s">
        <v>3834</v>
      </c>
      <c r="C2944" s="75" t="s">
        <v>3835</v>
      </c>
      <c r="D2944" s="75" t="s">
        <v>1474</v>
      </c>
      <c r="E2944" s="75" t="str">
        <f t="shared" ref="E2944:E2950" si="55">"০"</f>
        <v>০</v>
      </c>
      <c r="F2944" s="22" t="str">
        <f>"8119457812522"</f>
        <v>8119457812522</v>
      </c>
      <c r="G2944" s="75" t="str">
        <f>"০২৮১"</f>
        <v>০২৮১</v>
      </c>
      <c r="H2944" s="75" t="s">
        <v>371</v>
      </c>
      <c r="I2944" s="75" t="s">
        <v>371</v>
      </c>
      <c r="J2944" s="5"/>
    </row>
    <row r="2945" spans="1:10" x14ac:dyDescent="0.25">
      <c r="A2945" s="39">
        <v>2944</v>
      </c>
      <c r="B2945" s="3" t="s">
        <v>3836</v>
      </c>
      <c r="C2945" s="75" t="s">
        <v>3837</v>
      </c>
      <c r="D2945" s="75" t="s">
        <v>1474</v>
      </c>
      <c r="E2945" s="75" t="str">
        <f t="shared" si="55"/>
        <v>০</v>
      </c>
      <c r="F2945" s="22" t="str">
        <f>"8119457813389"</f>
        <v>8119457813389</v>
      </c>
      <c r="G2945" s="75" t="str">
        <f>"০২৮০"</f>
        <v>০২৮০</v>
      </c>
      <c r="H2945" s="75" t="s">
        <v>322</v>
      </c>
      <c r="I2945" s="75" t="s">
        <v>322</v>
      </c>
      <c r="J2945" s="5"/>
    </row>
    <row r="2946" spans="1:10" x14ac:dyDescent="0.25">
      <c r="A2946" s="39">
        <v>2945</v>
      </c>
      <c r="B2946" s="3" t="s">
        <v>3838</v>
      </c>
      <c r="C2946" s="75" t="s">
        <v>3839</v>
      </c>
      <c r="D2946" s="75" t="s">
        <v>1474</v>
      </c>
      <c r="E2946" s="75" t="str">
        <f t="shared" si="55"/>
        <v>০</v>
      </c>
      <c r="F2946" s="22" t="str">
        <f>"8119457813728"</f>
        <v>8119457813728</v>
      </c>
      <c r="G2946" s="75" t="str">
        <f>"০২৭৯"</f>
        <v>০২৭৯</v>
      </c>
      <c r="H2946" s="75" t="s">
        <v>371</v>
      </c>
      <c r="I2946" s="75" t="s">
        <v>371</v>
      </c>
      <c r="J2946" s="5"/>
    </row>
    <row r="2947" spans="1:10" x14ac:dyDescent="0.25">
      <c r="A2947" s="39">
        <v>2946</v>
      </c>
      <c r="B2947" s="3" t="s">
        <v>3840</v>
      </c>
      <c r="C2947" s="75" t="s">
        <v>3841</v>
      </c>
      <c r="D2947" s="75" t="s">
        <v>1474</v>
      </c>
      <c r="E2947" s="75" t="str">
        <f t="shared" si="55"/>
        <v>০</v>
      </c>
      <c r="F2947" s="22" t="str">
        <f>"8119457812760"</f>
        <v>8119457812760</v>
      </c>
      <c r="G2947" s="75" t="str">
        <f>"০২৭৮"</f>
        <v>০২৭৮</v>
      </c>
      <c r="H2947" s="75" t="s">
        <v>371</v>
      </c>
      <c r="I2947" s="75" t="s">
        <v>371</v>
      </c>
      <c r="J2947" s="5"/>
    </row>
    <row r="2948" spans="1:10" x14ac:dyDescent="0.25">
      <c r="A2948" s="39">
        <v>2947</v>
      </c>
      <c r="B2948" s="3" t="s">
        <v>3841</v>
      </c>
      <c r="C2948" s="75" t="s">
        <v>3842</v>
      </c>
      <c r="D2948" s="75" t="s">
        <v>1474</v>
      </c>
      <c r="E2948" s="75" t="str">
        <f t="shared" si="55"/>
        <v>০</v>
      </c>
      <c r="F2948" s="22" t="str">
        <f>"8119457812759"</f>
        <v>8119457812759</v>
      </c>
      <c r="G2948" s="75" t="str">
        <f>"০২৭৭"</f>
        <v>০২৭৭</v>
      </c>
      <c r="H2948" s="75" t="s">
        <v>322</v>
      </c>
      <c r="I2948" s="75" t="s">
        <v>322</v>
      </c>
      <c r="J2948" s="5"/>
    </row>
    <row r="2949" spans="1:10" x14ac:dyDescent="0.25">
      <c r="A2949" s="39">
        <v>2948</v>
      </c>
      <c r="B2949" s="3" t="s">
        <v>3843</v>
      </c>
      <c r="C2949" s="75" t="s">
        <v>3844</v>
      </c>
      <c r="D2949" s="75" t="s">
        <v>1474</v>
      </c>
      <c r="E2949" s="75" t="str">
        <f t="shared" si="55"/>
        <v>০</v>
      </c>
      <c r="F2949" s="22" t="str">
        <f>"8119457812650"</f>
        <v>8119457812650</v>
      </c>
      <c r="G2949" s="75" t="str">
        <f>"০২৭৬"</f>
        <v>০২৭৬</v>
      </c>
      <c r="H2949" s="75" t="s">
        <v>371</v>
      </c>
      <c r="I2949" s="75" t="s">
        <v>371</v>
      </c>
      <c r="J2949" s="5"/>
    </row>
    <row r="2950" spans="1:10" x14ac:dyDescent="0.25">
      <c r="A2950" s="39">
        <v>2949</v>
      </c>
      <c r="B2950" s="3" t="s">
        <v>3845</v>
      </c>
      <c r="C2950" s="75" t="s">
        <v>3846</v>
      </c>
      <c r="D2950" s="75" t="s">
        <v>1474</v>
      </c>
      <c r="E2950" s="75" t="str">
        <f t="shared" si="55"/>
        <v>০</v>
      </c>
      <c r="F2950" s="22" t="str">
        <f>"8119457813364"</f>
        <v>8119457813364</v>
      </c>
      <c r="G2950" s="75" t="str">
        <f>"০২৭৫"</f>
        <v>০২৭৫</v>
      </c>
      <c r="H2950" s="75" t="s">
        <v>364</v>
      </c>
      <c r="I2950" s="75" t="s">
        <v>364</v>
      </c>
      <c r="J2950" s="5"/>
    </row>
    <row r="2951" spans="1:10" x14ac:dyDescent="0.25">
      <c r="A2951" s="39">
        <v>2950</v>
      </c>
      <c r="B2951" s="3" t="s">
        <v>3847</v>
      </c>
      <c r="C2951" s="75" t="s">
        <v>3848</v>
      </c>
      <c r="D2951" s="75" t="s">
        <v>1474</v>
      </c>
      <c r="E2951" s="75" t="str">
        <f>"০১৭৩৭২৯৭৬৩২"</f>
        <v>০১৭৩৭২৯৭৬৩২</v>
      </c>
      <c r="F2951" s="22" t="str">
        <f>"8119457812604"</f>
        <v>8119457812604</v>
      </c>
      <c r="G2951" s="75" t="str">
        <f>"০২৭৪"</f>
        <v>০২৭৪</v>
      </c>
      <c r="H2951" s="75" t="s">
        <v>371</v>
      </c>
      <c r="I2951" s="75" t="s">
        <v>371</v>
      </c>
      <c r="J2951" s="5"/>
    </row>
    <row r="2952" spans="1:10" x14ac:dyDescent="0.25">
      <c r="A2952" s="39">
        <v>2951</v>
      </c>
      <c r="B2952" s="3" t="s">
        <v>3849</v>
      </c>
      <c r="C2952" s="75" t="s">
        <v>3847</v>
      </c>
      <c r="D2952" s="75" t="s">
        <v>1474</v>
      </c>
      <c r="E2952" s="75" t="str">
        <f>"০১৭৩৭২৯৭৬২"</f>
        <v>০১৭৩৭২৯৭৬২</v>
      </c>
      <c r="F2952" s="22" t="str">
        <f>"8119457812607"</f>
        <v>8119457812607</v>
      </c>
      <c r="G2952" s="75" t="str">
        <f>"০২৭৩"</f>
        <v>০২৭৩</v>
      </c>
      <c r="H2952" s="75" t="s">
        <v>371</v>
      </c>
      <c r="I2952" s="75" t="s">
        <v>371</v>
      </c>
      <c r="J2952" s="5"/>
    </row>
    <row r="2953" spans="1:10" x14ac:dyDescent="0.25">
      <c r="A2953" s="39">
        <v>2952</v>
      </c>
      <c r="B2953" s="3" t="s">
        <v>3850</v>
      </c>
      <c r="C2953" s="75" t="s">
        <v>3851</v>
      </c>
      <c r="D2953" s="75" t="s">
        <v>1474</v>
      </c>
      <c r="E2953" s="75" t="str">
        <f>"০১৭৪৪৩৫১২০৭"</f>
        <v>০১৭৪৪৩৫১২০৭</v>
      </c>
      <c r="F2953" s="22" t="str">
        <f>"8119457812651"</f>
        <v>8119457812651</v>
      </c>
      <c r="G2953" s="75" t="str">
        <f>"০২৭২"</f>
        <v>০২৭২</v>
      </c>
      <c r="H2953" s="75" t="s">
        <v>371</v>
      </c>
      <c r="I2953" s="75" t="s">
        <v>371</v>
      </c>
      <c r="J2953" s="5"/>
    </row>
    <row r="2954" spans="1:10" x14ac:dyDescent="0.25">
      <c r="A2954" s="39">
        <v>2953</v>
      </c>
      <c r="B2954" s="3" t="s">
        <v>1568</v>
      </c>
      <c r="C2954" s="75" t="s">
        <v>3852</v>
      </c>
      <c r="D2954" s="75" t="s">
        <v>1474</v>
      </c>
      <c r="E2954" s="75" t="str">
        <f>"০১৭৩৬৬৯১৫৩০"</f>
        <v>০১৭৩৬৬৯১৫৩০</v>
      </c>
      <c r="F2954" s="22" t="str">
        <f>"8119457813895"</f>
        <v>8119457813895</v>
      </c>
      <c r="G2954" s="75" t="str">
        <f>"০২৭১"</f>
        <v>০২৭১</v>
      </c>
      <c r="H2954" s="75" t="s">
        <v>322</v>
      </c>
      <c r="I2954" s="75" t="s">
        <v>322</v>
      </c>
      <c r="J2954" s="5"/>
    </row>
    <row r="2955" spans="1:10" x14ac:dyDescent="0.25">
      <c r="A2955" s="39">
        <v>2954</v>
      </c>
      <c r="B2955" s="3" t="s">
        <v>3853</v>
      </c>
      <c r="C2955" s="75" t="s">
        <v>3854</v>
      </c>
      <c r="D2955" s="75" t="s">
        <v>1474</v>
      </c>
      <c r="E2955" s="75" t="str">
        <f>"০১৭৭০০১১৩২৯"</f>
        <v>০১৭৭০০১১৩২৯</v>
      </c>
      <c r="F2955" s="22" t="str">
        <f>"8119457813351"</f>
        <v>8119457813351</v>
      </c>
      <c r="G2955" s="75" t="str">
        <f>"০২৭০"</f>
        <v>০২৭০</v>
      </c>
      <c r="H2955" s="75" t="s">
        <v>371</v>
      </c>
      <c r="I2955" s="75" t="s">
        <v>371</v>
      </c>
      <c r="J2955" s="5"/>
    </row>
    <row r="2956" spans="1:10" x14ac:dyDescent="0.25">
      <c r="A2956" s="39">
        <v>2955</v>
      </c>
      <c r="B2956" s="3" t="s">
        <v>3855</v>
      </c>
      <c r="C2956" s="75" t="s">
        <v>3856</v>
      </c>
      <c r="D2956" s="75" t="s">
        <v>1474</v>
      </c>
      <c r="E2956" s="75" t="str">
        <f>"০১৭৬২৯২৩৮৯৬"</f>
        <v>০১৭৬২৯২৩৮৯৬</v>
      </c>
      <c r="F2956" s="22" t="str">
        <f>"8119457813733"</f>
        <v>8119457813733</v>
      </c>
      <c r="G2956" s="75" t="str">
        <f>"০২৬৯"</f>
        <v>০২৬৯</v>
      </c>
      <c r="H2956" s="75" t="s">
        <v>329</v>
      </c>
      <c r="I2956" s="75" t="s">
        <v>329</v>
      </c>
      <c r="J2956" s="5"/>
    </row>
    <row r="2957" spans="1:10" x14ac:dyDescent="0.25">
      <c r="A2957" s="39">
        <v>2956</v>
      </c>
      <c r="B2957" s="3" t="s">
        <v>3857</v>
      </c>
      <c r="C2957" s="75" t="s">
        <v>3858</v>
      </c>
      <c r="D2957" s="75" t="s">
        <v>1474</v>
      </c>
      <c r="E2957" s="75" t="str">
        <f>"০১৭১৭১৫১৩১৩"</f>
        <v>০১৭১৭১৫১৩১৩</v>
      </c>
      <c r="F2957" s="22" t="str">
        <f>"8119457812550"</f>
        <v>8119457812550</v>
      </c>
      <c r="G2957" s="75" t="str">
        <f>"০২৬৮"</f>
        <v>০২৬৮</v>
      </c>
      <c r="H2957" s="75" t="s">
        <v>371</v>
      </c>
      <c r="I2957" s="75" t="s">
        <v>371</v>
      </c>
      <c r="J2957" s="5"/>
    </row>
    <row r="2958" spans="1:10" x14ac:dyDescent="0.25">
      <c r="A2958" s="39">
        <v>2957</v>
      </c>
      <c r="B2958" s="3" t="s">
        <v>3859</v>
      </c>
      <c r="C2958" s="75" t="s">
        <v>3860</v>
      </c>
      <c r="D2958" s="75" t="s">
        <v>1474</v>
      </c>
      <c r="E2958" s="75" t="str">
        <f>"০১৭০৪২৪০৬২৬"</f>
        <v>০১৭০৪২৪০৬২৬</v>
      </c>
      <c r="F2958" s="22" t="str">
        <f>"8119457813745"</f>
        <v>8119457813745</v>
      </c>
      <c r="G2958" s="75" t="str">
        <f>"০২৬৭"</f>
        <v>০২৬৭</v>
      </c>
      <c r="H2958" s="75" t="s">
        <v>371</v>
      </c>
      <c r="I2958" s="75" t="s">
        <v>371</v>
      </c>
      <c r="J2958" s="5"/>
    </row>
    <row r="2959" spans="1:10" x14ac:dyDescent="0.25">
      <c r="A2959" s="39">
        <v>2958</v>
      </c>
      <c r="B2959" s="3" t="s">
        <v>3861</v>
      </c>
      <c r="C2959" s="75" t="s">
        <v>3862</v>
      </c>
      <c r="D2959" s="75" t="s">
        <v>1474</v>
      </c>
      <c r="E2959" s="75" t="str">
        <f>"০১৭৪৪৫৬০১৬৩"</f>
        <v>০১৭৪৪৫৬০১৬৩</v>
      </c>
      <c r="F2959" s="22" t="str">
        <f>"8119457812706"</f>
        <v>8119457812706</v>
      </c>
      <c r="G2959" s="75" t="str">
        <f>"০২৬৬"</f>
        <v>০২৬৬</v>
      </c>
      <c r="H2959" s="75" t="s">
        <v>371</v>
      </c>
      <c r="I2959" s="75" t="s">
        <v>371</v>
      </c>
      <c r="J2959" s="5"/>
    </row>
    <row r="2960" spans="1:10" x14ac:dyDescent="0.25">
      <c r="A2960" s="39">
        <v>2959</v>
      </c>
      <c r="B2960" s="3" t="s">
        <v>3863</v>
      </c>
      <c r="C2960" s="75" t="s">
        <v>3864</v>
      </c>
      <c r="D2960" s="75" t="s">
        <v>1474</v>
      </c>
      <c r="E2960" s="75" t="str">
        <f>"০১৭৩৮১১৩২৪৪"</f>
        <v>০১৭৩৮১১৩২৪৪</v>
      </c>
      <c r="F2960" s="22" t="str">
        <f>"8119457813721"</f>
        <v>8119457813721</v>
      </c>
      <c r="G2960" s="75" t="str">
        <f>"০২৬৫"</f>
        <v>০২৬৫</v>
      </c>
      <c r="H2960" s="75" t="s">
        <v>371</v>
      </c>
      <c r="I2960" s="75" t="s">
        <v>371</v>
      </c>
      <c r="J2960" s="5"/>
    </row>
    <row r="2961" spans="1:10" x14ac:dyDescent="0.25">
      <c r="A2961" s="39">
        <v>2960</v>
      </c>
      <c r="B2961" s="3" t="s">
        <v>3865</v>
      </c>
      <c r="C2961" s="75" t="s">
        <v>3866</v>
      </c>
      <c r="D2961" s="75" t="s">
        <v>1474</v>
      </c>
      <c r="E2961" s="75" t="str">
        <f>"০১৭৪৯১৫৪১২২"</f>
        <v>০১৭৪৯১৫৪১২২</v>
      </c>
      <c r="F2961" s="22" t="str">
        <f>"8119457812671"</f>
        <v>8119457812671</v>
      </c>
      <c r="G2961" s="75" t="str">
        <f>"০২৬৪"</f>
        <v>০২৬৪</v>
      </c>
      <c r="H2961" s="75" t="s">
        <v>322</v>
      </c>
      <c r="I2961" s="75" t="s">
        <v>322</v>
      </c>
      <c r="J2961" s="5"/>
    </row>
    <row r="2962" spans="1:10" x14ac:dyDescent="0.25">
      <c r="A2962" s="39">
        <v>2961</v>
      </c>
      <c r="B2962" s="3" t="s">
        <v>3867</v>
      </c>
      <c r="C2962" s="75" t="s">
        <v>3868</v>
      </c>
      <c r="D2962" s="75" t="s">
        <v>1474</v>
      </c>
      <c r="E2962" s="75" t="str">
        <f>"০১৭৭৪২১০১৪৩"</f>
        <v>০১৭৭৪২১০১৪৩</v>
      </c>
      <c r="F2962" s="22" t="str">
        <f>"8119457812718"</f>
        <v>8119457812718</v>
      </c>
      <c r="G2962" s="75" t="str">
        <f>"০২৬৩"</f>
        <v>০২৬৩</v>
      </c>
      <c r="H2962" s="75" t="s">
        <v>322</v>
      </c>
      <c r="I2962" s="75" t="s">
        <v>322</v>
      </c>
      <c r="J2962" s="5"/>
    </row>
    <row r="2963" spans="1:10" x14ac:dyDescent="0.25">
      <c r="A2963" s="39">
        <v>2962</v>
      </c>
      <c r="B2963" s="3" t="s">
        <v>3869</v>
      </c>
      <c r="C2963" s="75" t="s">
        <v>3870</v>
      </c>
      <c r="D2963" s="75" t="s">
        <v>1474</v>
      </c>
      <c r="E2963" s="75" t="str">
        <f>"০১৭৫৮১৩৭৩১২"</f>
        <v>০১৭৫৮১৩৭৩১২</v>
      </c>
      <c r="F2963" s="22" t="str">
        <f>"8119457813366"</f>
        <v>8119457813366</v>
      </c>
      <c r="G2963" s="75" t="str">
        <f>"০২৬২"</f>
        <v>০২৬২</v>
      </c>
      <c r="H2963" s="75" t="s">
        <v>371</v>
      </c>
      <c r="I2963" s="75" t="s">
        <v>371</v>
      </c>
      <c r="J2963" s="5"/>
    </row>
    <row r="2964" spans="1:10" x14ac:dyDescent="0.25">
      <c r="A2964" s="39">
        <v>2963</v>
      </c>
      <c r="B2964" s="3" t="s">
        <v>3871</v>
      </c>
      <c r="C2964" s="75" t="s">
        <v>3872</v>
      </c>
      <c r="D2964" s="75" t="s">
        <v>1474</v>
      </c>
      <c r="E2964" s="75" t="str">
        <f>"০১৭৪০০৪৪৫৯০"</f>
        <v>০১৭৪০০৪৪৫৯০</v>
      </c>
      <c r="F2964" s="22" t="str">
        <f>"8119457812729"</f>
        <v>8119457812729</v>
      </c>
      <c r="G2964" s="75" t="str">
        <f>"০২৬১"</f>
        <v>০২৬১</v>
      </c>
      <c r="H2964" s="75" t="s">
        <v>371</v>
      </c>
      <c r="I2964" s="75" t="s">
        <v>371</v>
      </c>
      <c r="J2964" s="5"/>
    </row>
    <row r="2965" spans="1:10" x14ac:dyDescent="0.25">
      <c r="A2965" s="39">
        <v>2964</v>
      </c>
      <c r="B2965" s="3" t="s">
        <v>3873</v>
      </c>
      <c r="C2965" s="75" t="s">
        <v>3874</v>
      </c>
      <c r="D2965" s="75" t="s">
        <v>1474</v>
      </c>
      <c r="E2965" s="75" t="str">
        <f>"০"</f>
        <v>০</v>
      </c>
      <c r="F2965" s="22" t="str">
        <f>"8119457812534"</f>
        <v>8119457812534</v>
      </c>
      <c r="G2965" s="75" t="str">
        <f>"০২৬০"</f>
        <v>০২৬০</v>
      </c>
      <c r="H2965" s="75" t="s">
        <v>371</v>
      </c>
      <c r="I2965" s="75" t="s">
        <v>371</v>
      </c>
      <c r="J2965" s="5"/>
    </row>
    <row r="2966" spans="1:10" x14ac:dyDescent="0.25">
      <c r="A2966" s="39">
        <v>2965</v>
      </c>
      <c r="B2966" s="3" t="s">
        <v>3875</v>
      </c>
      <c r="C2966" s="75" t="s">
        <v>3876</v>
      </c>
      <c r="D2966" s="75" t="s">
        <v>1474</v>
      </c>
      <c r="E2966" s="75" t="str">
        <f>"০১৭৮৫২৫২৪৮১"</f>
        <v>০১৭৮৫২৫২৪৮১</v>
      </c>
      <c r="F2966" s="22" t="str">
        <f>"8119457813725"</f>
        <v>8119457813725</v>
      </c>
      <c r="G2966" s="75" t="str">
        <f>"০২৫৯"</f>
        <v>০২৫৯</v>
      </c>
      <c r="H2966" s="75" t="s">
        <v>371</v>
      </c>
      <c r="I2966" s="75" t="s">
        <v>371</v>
      </c>
      <c r="J2966" s="5"/>
    </row>
    <row r="2967" spans="1:10" x14ac:dyDescent="0.25">
      <c r="A2967" s="39">
        <v>2966</v>
      </c>
      <c r="B2967" s="3" t="s">
        <v>3877</v>
      </c>
      <c r="C2967" s="75" t="s">
        <v>3868</v>
      </c>
      <c r="D2967" s="75" t="s">
        <v>1474</v>
      </c>
      <c r="E2967" s="75" t="str">
        <f>"০"</f>
        <v>০</v>
      </c>
      <c r="F2967" s="22" t="str">
        <f>"8119457812716"</f>
        <v>8119457812716</v>
      </c>
      <c r="G2967" s="75" t="str">
        <f>"০২৫৮"</f>
        <v>০২৫৮</v>
      </c>
      <c r="H2967" s="75" t="s">
        <v>371</v>
      </c>
      <c r="I2967" s="75" t="s">
        <v>371</v>
      </c>
      <c r="J2967" s="5"/>
    </row>
    <row r="2968" spans="1:10" x14ac:dyDescent="0.25">
      <c r="A2968" s="39">
        <v>2967</v>
      </c>
      <c r="B2968" s="3" t="s">
        <v>3878</v>
      </c>
      <c r="C2968" s="75" t="s">
        <v>3879</v>
      </c>
      <c r="D2968" s="75" t="s">
        <v>1474</v>
      </c>
      <c r="E2968" s="75" t="str">
        <f>"০"</f>
        <v>০</v>
      </c>
      <c r="F2968" s="22" t="str">
        <f>"8119457812705"</f>
        <v>8119457812705</v>
      </c>
      <c r="G2968" s="75" t="str">
        <f>"০২৫৭"</f>
        <v>০২৫৭</v>
      </c>
      <c r="H2968" s="75" t="s">
        <v>322</v>
      </c>
      <c r="I2968" s="75" t="s">
        <v>322</v>
      </c>
      <c r="J2968" s="5"/>
    </row>
    <row r="2969" spans="1:10" x14ac:dyDescent="0.25">
      <c r="A2969" s="39">
        <v>2968</v>
      </c>
      <c r="B2969" s="3" t="s">
        <v>3880</v>
      </c>
      <c r="C2969" s="75" t="s">
        <v>3881</v>
      </c>
      <c r="D2969" s="75" t="s">
        <v>1474</v>
      </c>
      <c r="E2969" s="75" t="str">
        <f>"০১৭৪৪৫৬০১৬৩"</f>
        <v>০১৭৪৪৫৬০১৬৩</v>
      </c>
      <c r="F2969" s="22" t="str">
        <f>"8119457812692"</f>
        <v>8119457812692</v>
      </c>
      <c r="G2969" s="75" t="str">
        <f>"০২৫৬"</f>
        <v>০২৫৬</v>
      </c>
      <c r="H2969" s="75" t="s">
        <v>371</v>
      </c>
      <c r="I2969" s="75" t="s">
        <v>371</v>
      </c>
      <c r="J2969" s="5"/>
    </row>
    <row r="2970" spans="1:10" x14ac:dyDescent="0.25">
      <c r="A2970" s="39">
        <v>2969</v>
      </c>
      <c r="B2970" s="3" t="s">
        <v>3882</v>
      </c>
      <c r="C2970" s="75" t="s">
        <v>3883</v>
      </c>
      <c r="D2970" s="75" t="s">
        <v>1474</v>
      </c>
      <c r="E2970" s="75" t="str">
        <f>"০১৭৩৭৫০৭৮৩১"</f>
        <v>০১৭৩৭৫০৭৮৩১</v>
      </c>
      <c r="F2970" s="22" t="str">
        <f>"8119457812761"</f>
        <v>8119457812761</v>
      </c>
      <c r="G2970" s="75" t="str">
        <f>"০২৫৫"</f>
        <v>০২৫৫</v>
      </c>
      <c r="H2970" s="75" t="s">
        <v>371</v>
      </c>
      <c r="I2970" s="75" t="s">
        <v>371</v>
      </c>
      <c r="J2970" s="5"/>
    </row>
    <row r="2971" spans="1:10" x14ac:dyDescent="0.25">
      <c r="A2971" s="39">
        <v>2970</v>
      </c>
      <c r="B2971" s="3" t="s">
        <v>3884</v>
      </c>
      <c r="C2971" s="75" t="s">
        <v>3885</v>
      </c>
      <c r="D2971" s="75" t="s">
        <v>1474</v>
      </c>
      <c r="E2971" s="75" t="str">
        <f>"০১৭৬২৮৬৫৭৪০"</f>
        <v>০১৭৬২৮৬৫৭৪০</v>
      </c>
      <c r="F2971" s="22" t="str">
        <f>"8119457812546"</f>
        <v>8119457812546</v>
      </c>
      <c r="G2971" s="75" t="str">
        <f>"০২৫৪"</f>
        <v>০২৫৪</v>
      </c>
      <c r="H2971" s="75" t="s">
        <v>371</v>
      </c>
      <c r="I2971" s="75" t="s">
        <v>371</v>
      </c>
      <c r="J2971" s="5"/>
    </row>
    <row r="2972" spans="1:10" x14ac:dyDescent="0.25">
      <c r="A2972" s="39">
        <v>2971</v>
      </c>
      <c r="B2972" s="3" t="s">
        <v>3886</v>
      </c>
      <c r="C2972" s="75" t="s">
        <v>3887</v>
      </c>
      <c r="D2972" s="75" t="s">
        <v>1474</v>
      </c>
      <c r="E2972" s="75" t="str">
        <f>"০১৭৪২০১৪৬৬২"</f>
        <v>০১৭৪২০১৪৬৬২</v>
      </c>
      <c r="F2972" s="22" t="str">
        <f>"8119457812694"</f>
        <v>8119457812694</v>
      </c>
      <c r="G2972" s="75" t="str">
        <f>"০২৫৩"</f>
        <v>০২৫৩</v>
      </c>
      <c r="H2972" s="75" t="s">
        <v>371</v>
      </c>
      <c r="I2972" s="75" t="s">
        <v>371</v>
      </c>
      <c r="J2972" s="5"/>
    </row>
    <row r="2973" spans="1:10" x14ac:dyDescent="0.25">
      <c r="A2973" s="39">
        <v>2972</v>
      </c>
      <c r="B2973" s="3" t="s">
        <v>3888</v>
      </c>
      <c r="C2973" s="75" t="s">
        <v>3886</v>
      </c>
      <c r="D2973" s="75" t="s">
        <v>1474</v>
      </c>
      <c r="E2973" s="75" t="str">
        <f>"০"</f>
        <v>০</v>
      </c>
      <c r="F2973" s="22" t="str">
        <f>"8119457810008"</f>
        <v>8119457810008</v>
      </c>
      <c r="G2973" s="75" t="str">
        <f>"০২৫২"</f>
        <v>০২৫২</v>
      </c>
      <c r="H2973" s="75" t="s">
        <v>371</v>
      </c>
      <c r="I2973" s="75" t="s">
        <v>371</v>
      </c>
      <c r="J2973" s="5"/>
    </row>
    <row r="2974" spans="1:10" x14ac:dyDescent="0.25">
      <c r="A2974" s="39">
        <v>2973</v>
      </c>
      <c r="B2974" s="3" t="s">
        <v>3889</v>
      </c>
      <c r="C2974" s="75" t="s">
        <v>3890</v>
      </c>
      <c r="D2974" s="75" t="s">
        <v>1474</v>
      </c>
      <c r="E2974" s="75" t="str">
        <f>"০১৭৪৯৪৯৯৯৩৮"</f>
        <v>০১৭৪৯৪৯৯৯৩৮</v>
      </c>
      <c r="F2974" s="22" t="str">
        <f>"811945781007"</f>
        <v>811945781007</v>
      </c>
      <c r="G2974" s="75" t="str">
        <f>"০২৫১"</f>
        <v>০২৫১</v>
      </c>
      <c r="H2974" s="75" t="s">
        <v>371</v>
      </c>
      <c r="I2974" s="75" t="s">
        <v>371</v>
      </c>
      <c r="J2974" s="5"/>
    </row>
    <row r="2975" spans="1:10" x14ac:dyDescent="0.25">
      <c r="A2975" s="39">
        <v>2974</v>
      </c>
      <c r="B2975" s="3" t="s">
        <v>3891</v>
      </c>
      <c r="C2975" s="75" t="s">
        <v>3892</v>
      </c>
      <c r="D2975" s="75" t="s">
        <v>1474</v>
      </c>
      <c r="E2975" s="75" t="str">
        <f>"০১৭৪৫৯৩৪২১৪"</f>
        <v>০১৭৪৫৯৩৪২১৪</v>
      </c>
      <c r="F2975" s="22" t="str">
        <f>"8119457812697"</f>
        <v>8119457812697</v>
      </c>
      <c r="G2975" s="75" t="str">
        <f>"০২৫০"</f>
        <v>০২৫০</v>
      </c>
      <c r="H2975" s="75" t="s">
        <v>322</v>
      </c>
      <c r="I2975" s="75" t="s">
        <v>322</v>
      </c>
      <c r="J2975" s="5"/>
    </row>
    <row r="2976" spans="1:10" x14ac:dyDescent="0.25">
      <c r="A2976" s="39">
        <v>2975</v>
      </c>
      <c r="B2976" s="3" t="s">
        <v>3893</v>
      </c>
      <c r="C2976" s="75" t="s">
        <v>3894</v>
      </c>
      <c r="D2976" s="75" t="s">
        <v>1474</v>
      </c>
      <c r="E2976" s="75" t="str">
        <f>"০১৭২৯৩২১২০১"</f>
        <v>০১৭২৯৩২১২০১</v>
      </c>
      <c r="F2976" s="22" t="str">
        <f>"8119457812698"</f>
        <v>8119457812698</v>
      </c>
      <c r="G2976" s="75" t="str">
        <f>"০২৪৯"</f>
        <v>০২৪৯</v>
      </c>
      <c r="H2976" s="75" t="s">
        <v>371</v>
      </c>
      <c r="I2976" s="75" t="s">
        <v>371</v>
      </c>
      <c r="J2976" s="5"/>
    </row>
    <row r="2977" spans="1:10" x14ac:dyDescent="0.25">
      <c r="A2977" s="39">
        <v>2976</v>
      </c>
      <c r="B2977" s="3" t="s">
        <v>3895</v>
      </c>
      <c r="C2977" s="75" t="s">
        <v>3896</v>
      </c>
      <c r="D2977" s="75" t="s">
        <v>1474</v>
      </c>
      <c r="E2977" s="75" t="str">
        <f>"০১৭৪৮৫৫৭০০৯"</f>
        <v>০১৭৪৮৫৫৭০০৯</v>
      </c>
      <c r="F2977" s="22" t="str">
        <f>"8119457812693"</f>
        <v>8119457812693</v>
      </c>
      <c r="G2977" s="75" t="str">
        <f>"০২৪৮"</f>
        <v>০২৪৮</v>
      </c>
      <c r="H2977" s="75" t="s">
        <v>329</v>
      </c>
      <c r="I2977" s="75" t="s">
        <v>329</v>
      </c>
      <c r="J2977" s="5"/>
    </row>
    <row r="2978" spans="1:10" x14ac:dyDescent="0.25">
      <c r="A2978" s="39">
        <v>2977</v>
      </c>
      <c r="B2978" s="3" t="s">
        <v>1929</v>
      </c>
      <c r="C2978" s="75" t="s">
        <v>3897</v>
      </c>
      <c r="D2978" s="75" t="s">
        <v>1474</v>
      </c>
      <c r="E2978" s="75" t="str">
        <f>"০"</f>
        <v>০</v>
      </c>
      <c r="F2978" s="22" t="str">
        <f>"8119457812734"</f>
        <v>8119457812734</v>
      </c>
      <c r="G2978" s="75" t="str">
        <f>"০২৪৭"</f>
        <v>০২৪৭</v>
      </c>
      <c r="H2978" s="75" t="s">
        <v>319</v>
      </c>
      <c r="I2978" s="75" t="s">
        <v>319</v>
      </c>
      <c r="J2978" s="5"/>
    </row>
    <row r="2979" spans="1:10" x14ac:dyDescent="0.25">
      <c r="A2979" s="39">
        <v>2978</v>
      </c>
      <c r="B2979" s="3" t="s">
        <v>3898</v>
      </c>
      <c r="C2979" s="75" t="s">
        <v>3868</v>
      </c>
      <c r="D2979" s="75" t="s">
        <v>1474</v>
      </c>
      <c r="E2979" s="75" t="str">
        <f>"০১৭২৯১২৫৩৮৯"</f>
        <v>০১৭২৯১২৫৩৮৯</v>
      </c>
      <c r="F2979" s="22" t="str">
        <f>"8119457812720"</f>
        <v>8119457812720</v>
      </c>
      <c r="G2979" s="75" t="str">
        <f>"০২৪৬"</f>
        <v>০২৪৬</v>
      </c>
      <c r="H2979" s="75" t="s">
        <v>319</v>
      </c>
      <c r="I2979" s="75" t="s">
        <v>319</v>
      </c>
      <c r="J2979" s="5"/>
    </row>
    <row r="2980" spans="1:10" x14ac:dyDescent="0.25">
      <c r="A2980" s="39">
        <v>2979</v>
      </c>
      <c r="B2980" s="3" t="s">
        <v>3899</v>
      </c>
      <c r="C2980" s="75" t="s">
        <v>3900</v>
      </c>
      <c r="D2980" s="75" t="s">
        <v>1474</v>
      </c>
      <c r="E2980" s="75" t="str">
        <f>"০"</f>
        <v>০</v>
      </c>
      <c r="F2980" s="22" t="str">
        <f>"8119457812505"</f>
        <v>8119457812505</v>
      </c>
      <c r="G2980" s="75" t="str">
        <f>"০২৪৫"</f>
        <v>০২৪৫</v>
      </c>
      <c r="H2980" s="75" t="s">
        <v>319</v>
      </c>
      <c r="I2980" s="75" t="s">
        <v>319</v>
      </c>
      <c r="J2980" s="5"/>
    </row>
    <row r="2981" spans="1:10" x14ac:dyDescent="0.25">
      <c r="A2981" s="39">
        <v>2980</v>
      </c>
      <c r="B2981" s="3" t="s">
        <v>3901</v>
      </c>
      <c r="C2981" s="75" t="s">
        <v>3902</v>
      </c>
      <c r="D2981" s="75" t="s">
        <v>1474</v>
      </c>
      <c r="E2981" s="75" t="str">
        <f>"০"</f>
        <v>০</v>
      </c>
      <c r="F2981" s="22" t="str">
        <f>"8119457810256"</f>
        <v>8119457810256</v>
      </c>
      <c r="G2981" s="75" t="str">
        <f>"০২৪৪"</f>
        <v>০২৪৪</v>
      </c>
      <c r="H2981" s="75" t="s">
        <v>322</v>
      </c>
      <c r="I2981" s="75" t="s">
        <v>322</v>
      </c>
      <c r="J2981" s="5"/>
    </row>
    <row r="2982" spans="1:10" x14ac:dyDescent="0.25">
      <c r="A2982" s="39">
        <v>2981</v>
      </c>
      <c r="B2982" s="3" t="s">
        <v>3903</v>
      </c>
      <c r="C2982" s="75" t="s">
        <v>3904</v>
      </c>
      <c r="D2982" s="75" t="s">
        <v>1474</v>
      </c>
      <c r="E2982" s="75" t="str">
        <f>"০১৭৫৭৮৩৯৫৬৫"</f>
        <v>০১৭৫৭৮৩৯৫৬৫</v>
      </c>
      <c r="F2982" s="22" t="str">
        <f>"8119457812743"</f>
        <v>8119457812743</v>
      </c>
      <c r="G2982" s="75" t="str">
        <f>"০২৪৩"</f>
        <v>০২৪৩</v>
      </c>
      <c r="H2982" s="75" t="s">
        <v>371</v>
      </c>
      <c r="I2982" s="75" t="s">
        <v>371</v>
      </c>
      <c r="J2982" s="5"/>
    </row>
    <row r="2983" spans="1:10" x14ac:dyDescent="0.25">
      <c r="A2983" s="39">
        <v>2982</v>
      </c>
      <c r="B2983" s="3" t="s">
        <v>3905</v>
      </c>
      <c r="C2983" s="75" t="s">
        <v>3906</v>
      </c>
      <c r="D2983" s="75" t="s">
        <v>1474</v>
      </c>
      <c r="E2983" s="75" t="str">
        <f>"০১৭৫৫১৭৯৯৩৫"</f>
        <v>০১৭৫৫১৭৯৯৩৫</v>
      </c>
      <c r="F2983" s="22" t="str">
        <f>"8119457812610"</f>
        <v>8119457812610</v>
      </c>
      <c r="G2983" s="75" t="str">
        <f>"০২৪২"</f>
        <v>০২৪২</v>
      </c>
      <c r="H2983" s="75" t="s">
        <v>319</v>
      </c>
      <c r="I2983" s="75" t="s">
        <v>319</v>
      </c>
      <c r="J2983" s="5"/>
    </row>
    <row r="2984" spans="1:10" x14ac:dyDescent="0.25">
      <c r="A2984" s="39">
        <v>2983</v>
      </c>
      <c r="B2984" s="3" t="s">
        <v>3907</v>
      </c>
      <c r="C2984" s="75" t="s">
        <v>1975</v>
      </c>
      <c r="D2984" s="75" t="s">
        <v>1474</v>
      </c>
      <c r="E2984" s="75" t="str">
        <f>"০"</f>
        <v>০</v>
      </c>
      <c r="F2984" s="22" t="str">
        <f>"8119457813372"</f>
        <v>8119457813372</v>
      </c>
      <c r="G2984" s="75" t="str">
        <f>"০২৪১"</f>
        <v>০২৪১</v>
      </c>
      <c r="H2984" s="75" t="s">
        <v>322</v>
      </c>
      <c r="I2984" s="75" t="s">
        <v>322</v>
      </c>
      <c r="J2984" s="5"/>
    </row>
    <row r="2985" spans="1:10" x14ac:dyDescent="0.25">
      <c r="A2985" s="39">
        <v>2984</v>
      </c>
      <c r="B2985" s="3" t="s">
        <v>3908</v>
      </c>
      <c r="C2985" s="75" t="s">
        <v>3909</v>
      </c>
      <c r="D2985" s="75" t="s">
        <v>1474</v>
      </c>
      <c r="E2985" s="75" t="str">
        <f>"০"</f>
        <v>০</v>
      </c>
      <c r="F2985" s="22" t="str">
        <f>"8119457812653"</f>
        <v>8119457812653</v>
      </c>
      <c r="G2985" s="75" t="str">
        <f>"০২৪০"</f>
        <v>০২৪০</v>
      </c>
      <c r="H2985" s="75" t="s">
        <v>319</v>
      </c>
      <c r="I2985" s="75" t="s">
        <v>319</v>
      </c>
      <c r="J2985" s="5"/>
    </row>
    <row r="2986" spans="1:10" x14ac:dyDescent="0.25">
      <c r="A2986" s="39">
        <v>2985</v>
      </c>
      <c r="B2986" s="3" t="s">
        <v>3910</v>
      </c>
      <c r="C2986" s="75" t="s">
        <v>3911</v>
      </c>
      <c r="D2986" s="75" t="s">
        <v>1474</v>
      </c>
      <c r="E2986" s="75" t="str">
        <f>"০"</f>
        <v>০</v>
      </c>
      <c r="F2986" s="22" t="str">
        <f>"8119457813374"</f>
        <v>8119457813374</v>
      </c>
      <c r="G2986" s="75" t="str">
        <f>"০২৩৯"</f>
        <v>০২৩৯</v>
      </c>
      <c r="H2986" s="75" t="s">
        <v>319</v>
      </c>
      <c r="I2986" s="75" t="s">
        <v>319</v>
      </c>
      <c r="J2986" s="5"/>
    </row>
    <row r="2987" spans="1:10" x14ac:dyDescent="0.25">
      <c r="A2987" s="39">
        <v>2986</v>
      </c>
      <c r="B2987" s="3" t="s">
        <v>3912</v>
      </c>
      <c r="C2987" s="75" t="s">
        <v>3913</v>
      </c>
      <c r="D2987" s="75" t="s">
        <v>1474</v>
      </c>
      <c r="E2987" s="75" t="str">
        <f>"০১৭৭১৩৭২৯৮৬"</f>
        <v>০১৭৭১৩৭২৯৮৬</v>
      </c>
      <c r="F2987" s="22" t="str">
        <f>"8119457812501"</f>
        <v>8119457812501</v>
      </c>
      <c r="G2987" s="75" t="str">
        <f>"০২৩৮"</f>
        <v>০২৩৮</v>
      </c>
      <c r="H2987" s="75" t="s">
        <v>322</v>
      </c>
      <c r="I2987" s="75" t="s">
        <v>322</v>
      </c>
      <c r="J2987" s="5"/>
    </row>
    <row r="2988" spans="1:10" x14ac:dyDescent="0.25">
      <c r="A2988" s="39">
        <v>2987</v>
      </c>
      <c r="B2988" s="3" t="s">
        <v>3914</v>
      </c>
      <c r="C2988" s="75" t="s">
        <v>3915</v>
      </c>
      <c r="D2988" s="75" t="s">
        <v>1474</v>
      </c>
      <c r="E2988" s="75" t="str">
        <f>"০১৭৩৪৫৩১৭৪৪"</f>
        <v>০১৭৩৪৫৩১৭৪৪</v>
      </c>
      <c r="F2988" s="22" t="str">
        <f>"8119457812536"</f>
        <v>8119457812536</v>
      </c>
      <c r="G2988" s="75" t="str">
        <f>"০২৩৭"</f>
        <v>০২৩৭</v>
      </c>
      <c r="H2988" s="75" t="s">
        <v>371</v>
      </c>
      <c r="I2988" s="75" t="s">
        <v>371</v>
      </c>
      <c r="J2988" s="5"/>
    </row>
    <row r="2989" spans="1:10" x14ac:dyDescent="0.25">
      <c r="A2989" s="39">
        <v>2988</v>
      </c>
      <c r="B2989" s="3" t="s">
        <v>3916</v>
      </c>
      <c r="C2989" s="75" t="s">
        <v>3917</v>
      </c>
      <c r="D2989" s="75" t="s">
        <v>1474</v>
      </c>
      <c r="E2989" s="75" t="str">
        <f>"০"</f>
        <v>০</v>
      </c>
      <c r="F2989" s="22" t="str">
        <f>"8119457813709"</f>
        <v>8119457813709</v>
      </c>
      <c r="G2989" s="75" t="str">
        <f>"০২৩৬"</f>
        <v>০২৩৬</v>
      </c>
      <c r="H2989" s="75" t="s">
        <v>371</v>
      </c>
      <c r="I2989" s="75" t="s">
        <v>371</v>
      </c>
      <c r="J2989" s="5"/>
    </row>
    <row r="2990" spans="1:10" x14ac:dyDescent="0.25">
      <c r="A2990" s="39">
        <v>2989</v>
      </c>
      <c r="B2990" s="3" t="s">
        <v>3918</v>
      </c>
      <c r="C2990" s="75" t="s">
        <v>3919</v>
      </c>
      <c r="D2990" s="75" t="s">
        <v>1474</v>
      </c>
      <c r="E2990" s="75" t="str">
        <f>"০"</f>
        <v>০</v>
      </c>
      <c r="F2990" s="22" t="str">
        <f>"8119457812660"</f>
        <v>8119457812660</v>
      </c>
      <c r="G2990" s="75" t="str">
        <f>"০২৩৫"</f>
        <v>০২৩৫</v>
      </c>
      <c r="H2990" s="75" t="s">
        <v>315</v>
      </c>
      <c r="I2990" s="75" t="s">
        <v>315</v>
      </c>
      <c r="J2990" s="5"/>
    </row>
    <row r="2991" spans="1:10" x14ac:dyDescent="0.25">
      <c r="A2991" s="39">
        <v>2990</v>
      </c>
      <c r="B2991" s="3" t="s">
        <v>3920</v>
      </c>
      <c r="C2991" s="75" t="s">
        <v>3921</v>
      </c>
      <c r="D2991" s="75" t="s">
        <v>1474</v>
      </c>
      <c r="E2991" s="75" t="str">
        <f>"০১৭০৫৫৩৬২৯১"</f>
        <v>০১৭০৫৫৩৬২৯১</v>
      </c>
      <c r="F2991" s="22" t="str">
        <f>"8119457812639"</f>
        <v>8119457812639</v>
      </c>
      <c r="G2991" s="75" t="str">
        <f>"০২৩৪"</f>
        <v>০২৩৪</v>
      </c>
      <c r="H2991" s="75" t="s">
        <v>319</v>
      </c>
      <c r="I2991" s="75" t="s">
        <v>319</v>
      </c>
      <c r="J2991" s="5"/>
    </row>
    <row r="2992" spans="1:10" x14ac:dyDescent="0.25">
      <c r="A2992" s="39">
        <v>2991</v>
      </c>
      <c r="B2992" s="3" t="s">
        <v>3922</v>
      </c>
      <c r="C2992" s="75" t="s">
        <v>3923</v>
      </c>
      <c r="D2992" s="75" t="s">
        <v>1474</v>
      </c>
      <c r="E2992" s="75" t="str">
        <f>"০১৭৩৮৭৭৮৪৫৯"</f>
        <v>০১৭৩৮৭৭৮৪৫৯</v>
      </c>
      <c r="F2992" s="22" t="str">
        <f>"8119457812588"</f>
        <v>8119457812588</v>
      </c>
      <c r="G2992" s="75" t="str">
        <f>"০২৩৩"</f>
        <v>০২৩৩</v>
      </c>
      <c r="H2992" s="75" t="s">
        <v>319</v>
      </c>
      <c r="I2992" s="75" t="s">
        <v>319</v>
      </c>
      <c r="J2992" s="5"/>
    </row>
    <row r="2993" spans="1:10" x14ac:dyDescent="0.25">
      <c r="A2993" s="39">
        <v>2992</v>
      </c>
      <c r="B2993" s="3" t="s">
        <v>3924</v>
      </c>
      <c r="C2993" s="75" t="s">
        <v>3925</v>
      </c>
      <c r="D2993" s="75" t="s">
        <v>1474</v>
      </c>
      <c r="E2993" s="75" t="str">
        <f>"০১৭৩৯১৬৯৬৮৮"</f>
        <v>০১৭৩৯১৬৯৬৮৮</v>
      </c>
      <c r="F2993" s="22" t="str">
        <f>"8119457813704"</f>
        <v>8119457813704</v>
      </c>
      <c r="G2993" s="75" t="str">
        <f>"০২৩২"</f>
        <v>০২৩২</v>
      </c>
      <c r="H2993" s="75" t="s">
        <v>371</v>
      </c>
      <c r="I2993" s="75" t="s">
        <v>371</v>
      </c>
      <c r="J2993" s="5"/>
    </row>
    <row r="2994" spans="1:10" x14ac:dyDescent="0.25">
      <c r="A2994" s="39">
        <v>2993</v>
      </c>
      <c r="B2994" s="3" t="s">
        <v>2400</v>
      </c>
      <c r="C2994" s="75" t="s">
        <v>3926</v>
      </c>
      <c r="D2994" s="75" t="s">
        <v>1474</v>
      </c>
      <c r="E2994" s="75" t="str">
        <f>"০১৭২৯৬১০৭২৯"</f>
        <v>০১৭২৯৬১০৭২৯</v>
      </c>
      <c r="F2994" s="22" t="str">
        <f>"8119457812515"</f>
        <v>8119457812515</v>
      </c>
      <c r="G2994" s="75" t="str">
        <f>"০২৩১"</f>
        <v>০২৩১</v>
      </c>
      <c r="H2994" s="75" t="s">
        <v>329</v>
      </c>
      <c r="I2994" s="75" t="s">
        <v>329</v>
      </c>
      <c r="J2994" s="5"/>
    </row>
    <row r="2995" spans="1:10" x14ac:dyDescent="0.25">
      <c r="A2995" s="39">
        <v>2994</v>
      </c>
      <c r="B2995" s="3" t="s">
        <v>3927</v>
      </c>
      <c r="C2995" s="75" t="s">
        <v>3928</v>
      </c>
      <c r="D2995" s="75" t="s">
        <v>1474</v>
      </c>
      <c r="E2995" s="75" t="str">
        <f>"০"</f>
        <v>০</v>
      </c>
      <c r="F2995" s="22" t="str">
        <f>"8119457813375"</f>
        <v>8119457813375</v>
      </c>
      <c r="G2995" s="75" t="str">
        <f>"০২৩০"</f>
        <v>০২৩০</v>
      </c>
      <c r="H2995" s="75" t="s">
        <v>322</v>
      </c>
      <c r="I2995" s="75" t="s">
        <v>322</v>
      </c>
      <c r="J2995" s="5"/>
    </row>
    <row r="2996" spans="1:10" x14ac:dyDescent="0.25">
      <c r="A2996" s="39">
        <v>2995</v>
      </c>
      <c r="B2996" s="3" t="s">
        <v>3929</v>
      </c>
      <c r="C2996" s="75" t="s">
        <v>3930</v>
      </c>
      <c r="D2996" s="75" t="s">
        <v>1474</v>
      </c>
      <c r="E2996" s="75" t="str">
        <f>"০১৭৩৭৫৮৩৩৫৪"</f>
        <v>০১৭৩৭৫৮৩৩৫৪</v>
      </c>
      <c r="F2996" s="22" t="str">
        <f>"8119457812652"</f>
        <v>8119457812652</v>
      </c>
      <c r="G2996" s="75" t="str">
        <f>"০২২৯"</f>
        <v>০২২৯</v>
      </c>
      <c r="H2996" s="75" t="s">
        <v>319</v>
      </c>
      <c r="I2996" s="75" t="s">
        <v>319</v>
      </c>
      <c r="J2996" s="5"/>
    </row>
    <row r="2997" spans="1:10" x14ac:dyDescent="0.25">
      <c r="A2997" s="39">
        <v>2996</v>
      </c>
      <c r="B2997" s="3" t="s">
        <v>3931</v>
      </c>
      <c r="C2997" s="75" t="s">
        <v>3932</v>
      </c>
      <c r="D2997" s="75" t="s">
        <v>1474</v>
      </c>
      <c r="E2997" s="75" t="str">
        <f>"০১৭২৫০১৭৫৯৯"</f>
        <v>০১৭২৫০১৭৫৯৯</v>
      </c>
      <c r="F2997" s="22" t="str">
        <f>"8119457811640"</f>
        <v>8119457811640</v>
      </c>
      <c r="G2997" s="75" t="str">
        <f>"০২২৮"</f>
        <v>০২২৮</v>
      </c>
      <c r="H2997" s="75" t="s">
        <v>330</v>
      </c>
      <c r="I2997" s="75" t="s">
        <v>330</v>
      </c>
      <c r="J2997" s="5"/>
    </row>
    <row r="2998" spans="1:10" x14ac:dyDescent="0.25">
      <c r="A2998" s="39">
        <v>2997</v>
      </c>
      <c r="B2998" s="3" t="s">
        <v>3933</v>
      </c>
      <c r="C2998" s="75" t="s">
        <v>3934</v>
      </c>
      <c r="D2998" s="75" t="s">
        <v>1474</v>
      </c>
      <c r="E2998" s="75" t="str">
        <f>"০১৭৫২৬৬৩৯২১"</f>
        <v>০১৭৫২৬৬৩৯২১</v>
      </c>
      <c r="F2998" s="22" t="str">
        <f>"8119457813248"</f>
        <v>8119457813248</v>
      </c>
      <c r="G2998" s="75" t="str">
        <f>"০২২৭"</f>
        <v>০২২৭</v>
      </c>
      <c r="H2998" s="75" t="s">
        <v>329</v>
      </c>
      <c r="I2998" s="75" t="s">
        <v>329</v>
      </c>
      <c r="J2998" s="5"/>
    </row>
    <row r="2999" spans="1:10" x14ac:dyDescent="0.25">
      <c r="A2999" s="39">
        <v>2998</v>
      </c>
      <c r="B2999" s="3" t="s">
        <v>3935</v>
      </c>
      <c r="C2999" s="75" t="s">
        <v>3936</v>
      </c>
      <c r="D2999" s="75" t="s">
        <v>1474</v>
      </c>
      <c r="E2999" s="75" t="str">
        <f>"০১৭৯৫৪১৪২৩৫"</f>
        <v>০১৭৯৫৪১৪২৩৫</v>
      </c>
      <c r="F2999" s="22" t="str">
        <f>"8119457812658"</f>
        <v>8119457812658</v>
      </c>
      <c r="G2999" s="75" t="str">
        <f>"০২২৬"</f>
        <v>০২২৬</v>
      </c>
      <c r="H2999" s="75" t="s">
        <v>322</v>
      </c>
      <c r="I2999" s="75" t="s">
        <v>322</v>
      </c>
      <c r="J2999" s="5"/>
    </row>
    <row r="3000" spans="1:10" x14ac:dyDescent="0.25">
      <c r="A3000" s="39">
        <v>2999</v>
      </c>
      <c r="B3000" s="3" t="s">
        <v>3937</v>
      </c>
      <c r="C3000" s="75" t="s">
        <v>3938</v>
      </c>
      <c r="D3000" s="75" t="s">
        <v>1474</v>
      </c>
      <c r="E3000" s="75" t="str">
        <f>"০"</f>
        <v>০</v>
      </c>
      <c r="F3000" s="22" t="str">
        <f>"8119457812675"</f>
        <v>8119457812675</v>
      </c>
      <c r="G3000" s="75" t="str">
        <f>"০২২৫"</f>
        <v>০২২৫</v>
      </c>
      <c r="H3000" s="75" t="s">
        <v>319</v>
      </c>
      <c r="I3000" s="75" t="s">
        <v>319</v>
      </c>
      <c r="J3000" s="5"/>
    </row>
    <row r="3001" spans="1:10" x14ac:dyDescent="0.25">
      <c r="A3001" s="39">
        <v>3000</v>
      </c>
      <c r="B3001" s="3" t="s">
        <v>1782</v>
      </c>
      <c r="C3001" s="75" t="s">
        <v>3939</v>
      </c>
      <c r="D3001" s="75" t="s">
        <v>1474</v>
      </c>
      <c r="E3001" s="75" t="str">
        <f>"০"</f>
        <v>০</v>
      </c>
      <c r="F3001" s="22" t="str">
        <f>"8119457812597"</f>
        <v>8119457812597</v>
      </c>
      <c r="G3001" s="75" t="str">
        <f>"০২২৪"</f>
        <v>০২২৪</v>
      </c>
      <c r="H3001" s="75" t="s">
        <v>456</v>
      </c>
      <c r="I3001" s="75" t="s">
        <v>456</v>
      </c>
      <c r="J3001" s="5"/>
    </row>
    <row r="3002" spans="1:10" x14ac:dyDescent="0.25">
      <c r="A3002" s="39">
        <v>3001</v>
      </c>
      <c r="B3002" s="3" t="s">
        <v>3940</v>
      </c>
      <c r="C3002" s="75" t="s">
        <v>3939</v>
      </c>
      <c r="D3002" s="75" t="s">
        <v>1474</v>
      </c>
      <c r="E3002" s="75" t="str">
        <f>"০"</f>
        <v>০</v>
      </c>
      <c r="F3002" s="22" t="str">
        <f>"8119457812601"</f>
        <v>8119457812601</v>
      </c>
      <c r="G3002" s="75" t="str">
        <f>"০২২৩"</f>
        <v>০২২৩</v>
      </c>
      <c r="H3002" s="75" t="s">
        <v>1394</v>
      </c>
      <c r="I3002" s="75" t="s">
        <v>1394</v>
      </c>
      <c r="J3002" s="5"/>
    </row>
    <row r="3003" spans="1:10" x14ac:dyDescent="0.25">
      <c r="A3003" s="39">
        <v>3002</v>
      </c>
      <c r="B3003" s="3" t="s">
        <v>3783</v>
      </c>
      <c r="C3003" s="75" t="s">
        <v>3941</v>
      </c>
      <c r="D3003" s="75" t="s">
        <v>1474</v>
      </c>
      <c r="E3003" s="75" t="str">
        <f>"০১৭৩৫১৩৬৮০৭"</f>
        <v>০১৭৩৫১৩৬৮০৭</v>
      </c>
      <c r="F3003" s="22" t="str">
        <f>"8119457812540"</f>
        <v>8119457812540</v>
      </c>
      <c r="G3003" s="75" t="str">
        <f>"০২২২"</f>
        <v>০২২২</v>
      </c>
      <c r="H3003" s="75" t="s">
        <v>319</v>
      </c>
      <c r="I3003" s="75" t="s">
        <v>319</v>
      </c>
      <c r="J3003" s="5"/>
    </row>
    <row r="3004" spans="1:10" x14ac:dyDescent="0.25">
      <c r="A3004" s="39">
        <v>3003</v>
      </c>
      <c r="B3004" s="3" t="s">
        <v>3942</v>
      </c>
      <c r="C3004" s="75" t="s">
        <v>3923</v>
      </c>
      <c r="D3004" s="75" t="s">
        <v>1474</v>
      </c>
      <c r="E3004" s="75" t="str">
        <f>"০১৭৫১৩৩৪১৭৩"</f>
        <v>০১৭৫১৩৩৪১৭৩</v>
      </c>
      <c r="F3004" s="22" t="str">
        <f>"8119457812584"</f>
        <v>8119457812584</v>
      </c>
      <c r="G3004" s="75" t="str">
        <f>"০২২১"</f>
        <v>০২২১</v>
      </c>
      <c r="H3004" s="75" t="s">
        <v>456</v>
      </c>
      <c r="I3004" s="75" t="s">
        <v>456</v>
      </c>
      <c r="J3004" s="5"/>
    </row>
    <row r="3005" spans="1:10" x14ac:dyDescent="0.25">
      <c r="A3005" s="39">
        <v>3004</v>
      </c>
      <c r="B3005" s="3" t="s">
        <v>3943</v>
      </c>
      <c r="C3005" s="75" t="s">
        <v>3923</v>
      </c>
      <c r="D3005" s="75" t="s">
        <v>1474</v>
      </c>
      <c r="E3005" s="75" t="str">
        <f>"০১৭৮৮১০৮৪২৫"</f>
        <v>০১৭৮৮১০৮৪২৫</v>
      </c>
      <c r="F3005" s="22" t="str">
        <f>"8119457812586"</f>
        <v>8119457812586</v>
      </c>
      <c r="G3005" s="75" t="str">
        <f>"০২২০"</f>
        <v>০২২০</v>
      </c>
      <c r="H3005" s="75" t="s">
        <v>330</v>
      </c>
      <c r="I3005" s="75" t="s">
        <v>330</v>
      </c>
      <c r="J3005" s="5"/>
    </row>
    <row r="3006" spans="1:10" x14ac:dyDescent="0.25">
      <c r="A3006" s="39">
        <v>3005</v>
      </c>
      <c r="B3006" s="3" t="s">
        <v>3944</v>
      </c>
      <c r="C3006" s="75" t="s">
        <v>3945</v>
      </c>
      <c r="D3006" s="75" t="s">
        <v>1474</v>
      </c>
      <c r="E3006" s="75" t="str">
        <f>"০"</f>
        <v>০</v>
      </c>
      <c r="F3006" s="22" t="str">
        <f>"8119457812662"</f>
        <v>8119457812662</v>
      </c>
      <c r="G3006" s="75" t="str">
        <f>"০২১৯"</f>
        <v>০২১৯</v>
      </c>
      <c r="H3006" s="75" t="s">
        <v>319</v>
      </c>
      <c r="I3006" s="75" t="s">
        <v>319</v>
      </c>
      <c r="J3006" s="5"/>
    </row>
    <row r="3007" spans="1:10" x14ac:dyDescent="0.25">
      <c r="A3007" s="39">
        <v>3006</v>
      </c>
      <c r="B3007" s="3" t="s">
        <v>3946</v>
      </c>
      <c r="C3007" s="75" t="s">
        <v>3947</v>
      </c>
      <c r="D3007" s="75" t="s">
        <v>1474</v>
      </c>
      <c r="E3007" s="75" t="str">
        <f>"০১৭৫১৪৭৩৮৯৭"</f>
        <v>০১৭৫১৪৭৩৮৯৭</v>
      </c>
      <c r="F3007" s="22" t="str">
        <f>"8119457812572"</f>
        <v>8119457812572</v>
      </c>
      <c r="G3007" s="75" t="str">
        <f>"০২১৮"</f>
        <v>০২১৮</v>
      </c>
      <c r="H3007" s="75" t="s">
        <v>322</v>
      </c>
      <c r="I3007" s="75" t="s">
        <v>322</v>
      </c>
      <c r="J3007" s="5"/>
    </row>
    <row r="3008" spans="1:10" x14ac:dyDescent="0.25">
      <c r="A3008" s="39">
        <v>3007</v>
      </c>
      <c r="B3008" s="3" t="s">
        <v>3948</v>
      </c>
      <c r="C3008" s="75" t="s">
        <v>3949</v>
      </c>
      <c r="D3008" s="75" t="s">
        <v>1474</v>
      </c>
      <c r="E3008" s="75" t="str">
        <f>"০১৭৩৪২৮৬৬৭৯"</f>
        <v>০১৭৩৪২৮৬৬৭৯</v>
      </c>
      <c r="F3008" s="22" t="str">
        <f>"8119457812532"</f>
        <v>8119457812532</v>
      </c>
      <c r="G3008" s="75" t="str">
        <f>"০২১৭"</f>
        <v>০২১৭</v>
      </c>
      <c r="H3008" s="75" t="s">
        <v>364</v>
      </c>
      <c r="I3008" s="75" t="s">
        <v>364</v>
      </c>
      <c r="J3008" s="5"/>
    </row>
    <row r="3009" spans="1:10" x14ac:dyDescent="0.25">
      <c r="A3009" s="39">
        <v>3008</v>
      </c>
      <c r="B3009" s="3" t="s">
        <v>3950</v>
      </c>
      <c r="C3009" s="75" t="s">
        <v>3951</v>
      </c>
      <c r="D3009" s="75" t="s">
        <v>1474</v>
      </c>
      <c r="E3009" s="75" t="str">
        <f>"০১৭৯৬৯৬৪০৪০"</f>
        <v>০১৭৯৬৯৬৪০৪০</v>
      </c>
      <c r="F3009" s="22" t="str">
        <f>"8119457812580"</f>
        <v>8119457812580</v>
      </c>
      <c r="G3009" s="75" t="str">
        <f>"০২১৬"</f>
        <v>০২১৬</v>
      </c>
      <c r="H3009" s="75" t="s">
        <v>319</v>
      </c>
      <c r="I3009" s="75" t="s">
        <v>319</v>
      </c>
      <c r="J3009" s="5"/>
    </row>
    <row r="3010" spans="1:10" x14ac:dyDescent="0.25">
      <c r="A3010" s="39">
        <v>3009</v>
      </c>
      <c r="B3010" s="3" t="s">
        <v>3952</v>
      </c>
      <c r="C3010" s="75" t="s">
        <v>3953</v>
      </c>
      <c r="D3010" s="75" t="s">
        <v>1474</v>
      </c>
      <c r="E3010" s="75" t="str">
        <f>"০১৭৩৭৬২১৫৫৪"</f>
        <v>০১৭৩৭৬২১৫৫৪</v>
      </c>
      <c r="F3010" s="22" t="str">
        <f>"8119457812621"</f>
        <v>8119457812621</v>
      </c>
      <c r="G3010" s="75" t="str">
        <f>"০২১৫"</f>
        <v>০২১৫</v>
      </c>
      <c r="H3010" s="75" t="s">
        <v>329</v>
      </c>
      <c r="I3010" s="75" t="s">
        <v>329</v>
      </c>
      <c r="J3010" s="5"/>
    </row>
    <row r="3011" spans="1:10" x14ac:dyDescent="0.25">
      <c r="A3011" s="39">
        <v>3010</v>
      </c>
      <c r="B3011" s="3" t="s">
        <v>2795</v>
      </c>
      <c r="C3011" s="75" t="s">
        <v>3954</v>
      </c>
      <c r="D3011" s="75" t="s">
        <v>1474</v>
      </c>
      <c r="E3011" s="75" t="str">
        <f>"০১৭২৮২৪৪৫৩৬"</f>
        <v>০১৭২৮২৪৪৫৩৬</v>
      </c>
      <c r="F3011" s="22" t="str">
        <f>"8119457812710"</f>
        <v>8119457812710</v>
      </c>
      <c r="G3011" s="75" t="str">
        <f>"০২১৪"</f>
        <v>০২১৪</v>
      </c>
      <c r="H3011" s="75" t="s">
        <v>330</v>
      </c>
      <c r="I3011" s="75" t="s">
        <v>330</v>
      </c>
      <c r="J3011" s="5"/>
    </row>
    <row r="3012" spans="1:10" x14ac:dyDescent="0.25">
      <c r="A3012" s="39">
        <v>3011</v>
      </c>
      <c r="B3012" s="3" t="s">
        <v>3955</v>
      </c>
      <c r="C3012" s="75" t="s">
        <v>3956</v>
      </c>
      <c r="D3012" s="75" t="s">
        <v>1474</v>
      </c>
      <c r="E3012" s="75" t="str">
        <f>"০"</f>
        <v>০</v>
      </c>
      <c r="F3012" s="22" t="str">
        <f>"8119457812623"</f>
        <v>8119457812623</v>
      </c>
      <c r="G3012" s="75" t="str">
        <f>"০২১৩"</f>
        <v>০২১৩</v>
      </c>
      <c r="H3012" s="75" t="s">
        <v>319</v>
      </c>
      <c r="I3012" s="75" t="s">
        <v>319</v>
      </c>
      <c r="J3012" s="5"/>
    </row>
    <row r="3013" spans="1:10" x14ac:dyDescent="0.25">
      <c r="A3013" s="39">
        <v>3012</v>
      </c>
      <c r="B3013" s="3" t="s">
        <v>3957</v>
      </c>
      <c r="C3013" s="75" t="s">
        <v>3958</v>
      </c>
      <c r="D3013" s="75" t="s">
        <v>1474</v>
      </c>
      <c r="E3013" s="75" t="str">
        <f>"০১৭৩৫৯৩৩৫১২"</f>
        <v>০১৭৩৫৯৩৩৫১২</v>
      </c>
      <c r="F3013" s="22" t="str">
        <f>"8119457813513"</f>
        <v>8119457813513</v>
      </c>
      <c r="G3013" s="75" t="str">
        <f>"০২১২"</f>
        <v>০২১২</v>
      </c>
      <c r="H3013" s="75" t="s">
        <v>319</v>
      </c>
      <c r="I3013" s="75" t="s">
        <v>319</v>
      </c>
      <c r="J3013" s="5"/>
    </row>
    <row r="3014" spans="1:10" x14ac:dyDescent="0.25">
      <c r="A3014" s="39">
        <v>3013</v>
      </c>
      <c r="B3014" s="3" t="s">
        <v>3959</v>
      </c>
      <c r="C3014" s="75" t="s">
        <v>3958</v>
      </c>
      <c r="D3014" s="75" t="s">
        <v>1474</v>
      </c>
      <c r="E3014" s="75" t="str">
        <f>"০১৭৩৪২৮৬৬৭৯"</f>
        <v>০১৭৩৪২৮৬৬৭৯</v>
      </c>
      <c r="F3014" s="22" t="str">
        <f>"8119457812603"</f>
        <v>8119457812603</v>
      </c>
      <c r="G3014" s="75" t="str">
        <f>"০২১১"</f>
        <v>০২১১</v>
      </c>
      <c r="H3014" s="75" t="s">
        <v>330</v>
      </c>
      <c r="I3014" s="75" t="s">
        <v>330</v>
      </c>
      <c r="J3014" s="5"/>
    </row>
    <row r="3015" spans="1:10" x14ac:dyDescent="0.25">
      <c r="A3015" s="39">
        <v>3014</v>
      </c>
      <c r="B3015" s="3" t="s">
        <v>2543</v>
      </c>
      <c r="C3015" s="75" t="s">
        <v>3960</v>
      </c>
      <c r="D3015" s="75" t="s">
        <v>1474</v>
      </c>
      <c r="E3015" s="75" t="str">
        <f>"০১৭৬১৮৬০২৭২"</f>
        <v>০১৭৬১৮৬০২৭২</v>
      </c>
      <c r="F3015" s="22" t="str">
        <f>"8119457812503"</f>
        <v>8119457812503</v>
      </c>
      <c r="G3015" s="75" t="str">
        <f>"০২১০"</f>
        <v>০২১০</v>
      </c>
      <c r="H3015" s="75" t="s">
        <v>319</v>
      </c>
      <c r="I3015" s="75" t="s">
        <v>319</v>
      </c>
      <c r="J3015" s="5"/>
    </row>
    <row r="3016" spans="1:10" x14ac:dyDescent="0.25">
      <c r="A3016" s="39">
        <v>3015</v>
      </c>
      <c r="B3016" s="3" t="s">
        <v>3961</v>
      </c>
      <c r="C3016" s="75" t="s">
        <v>3932</v>
      </c>
      <c r="D3016" s="75" t="s">
        <v>1474</v>
      </c>
      <c r="E3016" s="75" t="str">
        <f>"০১৭৩৫৫০৭৯০১"</f>
        <v>০১৭৩৫৫০৭৯০১</v>
      </c>
      <c r="F3016" s="22" t="str">
        <f>"8119457812749"</f>
        <v>8119457812749</v>
      </c>
      <c r="G3016" s="75" t="str">
        <f>"০২০৯"</f>
        <v>০২০৯</v>
      </c>
      <c r="H3016" s="75" t="s">
        <v>329</v>
      </c>
      <c r="I3016" s="75" t="s">
        <v>329</v>
      </c>
      <c r="J3016" s="5"/>
    </row>
    <row r="3017" spans="1:10" x14ac:dyDescent="0.25">
      <c r="A3017" s="39">
        <v>3016</v>
      </c>
      <c r="B3017" s="3" t="s">
        <v>3962</v>
      </c>
      <c r="C3017" s="75" t="s">
        <v>3963</v>
      </c>
      <c r="D3017" s="75" t="s">
        <v>1474</v>
      </c>
      <c r="E3017" s="75" t="str">
        <f>"০১৭৪৬১৬৪১৬০"</f>
        <v>০১৭৪৬১৬৪১৬০</v>
      </c>
      <c r="F3017" s="22" t="str">
        <f>"8119457813707"</f>
        <v>8119457813707</v>
      </c>
      <c r="G3017" s="75" t="str">
        <f>"০২০৮"</f>
        <v>০২০৮</v>
      </c>
      <c r="H3017" s="75" t="s">
        <v>315</v>
      </c>
      <c r="I3017" s="75" t="s">
        <v>315</v>
      </c>
      <c r="J3017" s="5"/>
    </row>
    <row r="3018" spans="1:10" x14ac:dyDescent="0.25">
      <c r="A3018" s="39">
        <v>3017</v>
      </c>
      <c r="B3018" s="3" t="s">
        <v>3964</v>
      </c>
      <c r="C3018" s="75" t="s">
        <v>3965</v>
      </c>
      <c r="D3018" s="75" t="s">
        <v>1474</v>
      </c>
      <c r="E3018" s="75" t="str">
        <f>"০১৭৭৬৫৮১০২১"</f>
        <v>০১৭৭৬৫৮১০২১</v>
      </c>
      <c r="F3018" s="22" t="str">
        <f>"8119457812679"</f>
        <v>8119457812679</v>
      </c>
      <c r="G3018" s="75" t="str">
        <f>"০২০৭"</f>
        <v>০২০৭</v>
      </c>
      <c r="H3018" s="75" t="s">
        <v>322</v>
      </c>
      <c r="I3018" s="75" t="s">
        <v>322</v>
      </c>
      <c r="J3018" s="5"/>
    </row>
    <row r="3019" spans="1:10" x14ac:dyDescent="0.25">
      <c r="A3019" s="39">
        <v>3018</v>
      </c>
      <c r="B3019" s="3" t="s">
        <v>3966</v>
      </c>
      <c r="C3019" s="75" t="s">
        <v>3967</v>
      </c>
      <c r="D3019" s="75" t="s">
        <v>1474</v>
      </c>
      <c r="E3019" s="75" t="str">
        <f>"০১৭৭৪৬১৯৭৬৯"</f>
        <v>০১৭৭৪৬১৯৭৬৯</v>
      </c>
      <c r="F3019" s="22" t="str">
        <f>"8119457812673"</f>
        <v>8119457812673</v>
      </c>
      <c r="G3019" s="75" t="str">
        <f>"০২০৬"</f>
        <v>০২০৬</v>
      </c>
      <c r="H3019" s="75" t="s">
        <v>319</v>
      </c>
      <c r="I3019" s="75" t="s">
        <v>319</v>
      </c>
      <c r="J3019" s="5"/>
    </row>
    <row r="3020" spans="1:10" x14ac:dyDescent="0.25">
      <c r="A3020" s="39">
        <v>3019</v>
      </c>
      <c r="B3020" s="3" t="s">
        <v>2631</v>
      </c>
      <c r="C3020" s="75" t="s">
        <v>3968</v>
      </c>
      <c r="D3020" s="75" t="s">
        <v>1474</v>
      </c>
      <c r="E3020" s="75" t="str">
        <f>"০"</f>
        <v>০</v>
      </c>
      <c r="F3020" s="22" t="str">
        <f>"8119457812576"</f>
        <v>8119457812576</v>
      </c>
      <c r="G3020" s="75" t="str">
        <f>"০২০৫"</f>
        <v>০২০৫</v>
      </c>
      <c r="H3020" s="75" t="s">
        <v>319</v>
      </c>
      <c r="I3020" s="75" t="s">
        <v>319</v>
      </c>
      <c r="J3020" s="5"/>
    </row>
    <row r="3021" spans="1:10" x14ac:dyDescent="0.25">
      <c r="A3021" s="39">
        <v>3020</v>
      </c>
      <c r="B3021" s="3" t="s">
        <v>3969</v>
      </c>
      <c r="C3021" s="75" t="s">
        <v>3970</v>
      </c>
      <c r="D3021" s="75" t="s">
        <v>1474</v>
      </c>
      <c r="E3021" s="75" t="str">
        <f>"০১৭৩৬৭৫০৫৬৫"</f>
        <v>০১৭৩৬৭৫০৫৬৫</v>
      </c>
      <c r="F3021" s="22" t="str">
        <f>"8119457813744"</f>
        <v>8119457813744</v>
      </c>
      <c r="G3021" s="75" t="str">
        <f>"০২০৪"</f>
        <v>০২০৪</v>
      </c>
      <c r="H3021" s="75" t="s">
        <v>319</v>
      </c>
      <c r="I3021" s="75" t="s">
        <v>319</v>
      </c>
      <c r="J3021" s="5"/>
    </row>
    <row r="3022" spans="1:10" x14ac:dyDescent="0.25">
      <c r="A3022" s="39">
        <v>3021</v>
      </c>
      <c r="B3022" s="3" t="s">
        <v>3971</v>
      </c>
      <c r="C3022" s="75" t="s">
        <v>3970</v>
      </c>
      <c r="D3022" s="75" t="s">
        <v>1474</v>
      </c>
      <c r="E3022" s="75" t="str">
        <f>"০"</f>
        <v>০</v>
      </c>
      <c r="F3022" s="22" t="str">
        <f>"8119457812569"</f>
        <v>8119457812569</v>
      </c>
      <c r="G3022" s="75" t="str">
        <f>"০২০৩"</f>
        <v>০২০৩</v>
      </c>
      <c r="H3022" s="75" t="s">
        <v>456</v>
      </c>
      <c r="I3022" s="75" t="s">
        <v>456</v>
      </c>
      <c r="J3022" s="5"/>
    </row>
    <row r="3023" spans="1:10" x14ac:dyDescent="0.25">
      <c r="A3023" s="39">
        <v>3022</v>
      </c>
      <c r="B3023" s="3" t="s">
        <v>3972</v>
      </c>
      <c r="C3023" s="75" t="s">
        <v>3970</v>
      </c>
      <c r="D3023" s="75" t="s">
        <v>1474</v>
      </c>
      <c r="E3023" s="75" t="str">
        <f>"০১৭১৯৭১৬৩৩৯"</f>
        <v>০১৭১৯৭১৬৩৩৯</v>
      </c>
      <c r="F3023" s="22" t="str">
        <f>"8119457812567"</f>
        <v>8119457812567</v>
      </c>
      <c r="G3023" s="75" t="str">
        <f>"০২০২"</f>
        <v>০২০২</v>
      </c>
      <c r="H3023" s="75" t="s">
        <v>319</v>
      </c>
      <c r="I3023" s="75" t="s">
        <v>319</v>
      </c>
      <c r="J3023" s="5"/>
    </row>
    <row r="3024" spans="1:10" x14ac:dyDescent="0.25">
      <c r="A3024" s="39">
        <v>3023</v>
      </c>
      <c r="B3024" s="3" t="s">
        <v>3973</v>
      </c>
      <c r="C3024" s="75" t="s">
        <v>3970</v>
      </c>
      <c r="D3024" s="75" t="s">
        <v>1474</v>
      </c>
      <c r="E3024" s="75" t="str">
        <f>"০১৭২৪২৯০৯৭১"</f>
        <v>০১৭২৪২৯০৯৭১</v>
      </c>
      <c r="F3024" s="22" t="str">
        <f>"8119457000002"</f>
        <v>8119457000002</v>
      </c>
      <c r="G3024" s="75" t="str">
        <f>"০২০১"</f>
        <v>০২০১</v>
      </c>
      <c r="H3024" s="75" t="s">
        <v>319</v>
      </c>
      <c r="I3024" s="75" t="s">
        <v>319</v>
      </c>
      <c r="J3024" s="5"/>
    </row>
    <row r="3025" spans="1:10" x14ac:dyDescent="0.25">
      <c r="A3025" s="39">
        <v>3024</v>
      </c>
      <c r="B3025" s="3" t="s">
        <v>3974</v>
      </c>
      <c r="C3025" s="75" t="s">
        <v>3975</v>
      </c>
      <c r="D3025" s="75" t="s">
        <v>1474</v>
      </c>
      <c r="E3025" s="75" t="str">
        <f t="shared" ref="E3025:E3032" si="56">"০"</f>
        <v>০</v>
      </c>
      <c r="F3025" s="22" t="str">
        <f>"8119457812726"</f>
        <v>8119457812726</v>
      </c>
      <c r="G3025" s="75" t="str">
        <f>"০২০০"</f>
        <v>০২০০</v>
      </c>
      <c r="H3025" s="75" t="s">
        <v>1394</v>
      </c>
      <c r="I3025" s="75" t="s">
        <v>1394</v>
      </c>
      <c r="J3025" s="5"/>
    </row>
    <row r="3026" spans="1:10" x14ac:dyDescent="0.25">
      <c r="A3026" s="39">
        <v>3025</v>
      </c>
      <c r="B3026" s="3" t="s">
        <v>3976</v>
      </c>
      <c r="C3026" s="75" t="s">
        <v>3977</v>
      </c>
      <c r="D3026" s="75" t="s">
        <v>1474</v>
      </c>
      <c r="E3026" s="75" t="str">
        <f t="shared" si="56"/>
        <v>০</v>
      </c>
      <c r="F3026" s="22" t="str">
        <f>"8119457813388"</f>
        <v>8119457813388</v>
      </c>
      <c r="G3026" s="75" t="str">
        <f>"০১৯৯"</f>
        <v>০১৯৯</v>
      </c>
      <c r="H3026" s="75" t="s">
        <v>319</v>
      </c>
      <c r="I3026" s="75" t="s">
        <v>319</v>
      </c>
      <c r="J3026" s="5"/>
    </row>
    <row r="3027" spans="1:10" x14ac:dyDescent="0.25">
      <c r="A3027" s="39">
        <v>3026</v>
      </c>
      <c r="B3027" s="3" t="s">
        <v>3978</v>
      </c>
      <c r="C3027" s="75" t="s">
        <v>3979</v>
      </c>
      <c r="D3027" s="75" t="s">
        <v>1474</v>
      </c>
      <c r="E3027" s="75" t="str">
        <f t="shared" si="56"/>
        <v>০</v>
      </c>
      <c r="F3027" s="22" t="str">
        <f>"8119457813369"</f>
        <v>8119457813369</v>
      </c>
      <c r="G3027" s="75" t="str">
        <f>"০১৯৮"</f>
        <v>০১৯৮</v>
      </c>
      <c r="H3027" s="75" t="s">
        <v>319</v>
      </c>
      <c r="I3027" s="75" t="s">
        <v>319</v>
      </c>
      <c r="J3027" s="5"/>
    </row>
    <row r="3028" spans="1:10" x14ac:dyDescent="0.25">
      <c r="A3028" s="39">
        <v>3027</v>
      </c>
      <c r="B3028" s="3" t="s">
        <v>3980</v>
      </c>
      <c r="C3028" s="75" t="s">
        <v>3981</v>
      </c>
      <c r="D3028" s="75" t="s">
        <v>1474</v>
      </c>
      <c r="E3028" s="75" t="str">
        <f t="shared" si="56"/>
        <v>০</v>
      </c>
      <c r="F3028" s="22" t="str">
        <f>"8119457812910"</f>
        <v>8119457812910</v>
      </c>
      <c r="G3028" s="75" t="str">
        <f>"০১৯৭"</f>
        <v>০১৯৭</v>
      </c>
      <c r="H3028" s="75" t="s">
        <v>456</v>
      </c>
      <c r="I3028" s="75" t="s">
        <v>456</v>
      </c>
      <c r="J3028" s="5"/>
    </row>
    <row r="3029" spans="1:10" x14ac:dyDescent="0.25">
      <c r="A3029" s="39">
        <v>3028</v>
      </c>
      <c r="B3029" s="3" t="s">
        <v>3982</v>
      </c>
      <c r="C3029" s="75" t="s">
        <v>3983</v>
      </c>
      <c r="D3029" s="75" t="s">
        <v>1474</v>
      </c>
      <c r="E3029" s="75" t="str">
        <f t="shared" si="56"/>
        <v>০</v>
      </c>
      <c r="F3029" s="22" t="str">
        <f>"8119457812897"</f>
        <v>8119457812897</v>
      </c>
      <c r="G3029" s="75" t="str">
        <f>"০১৯৬"</f>
        <v>০১৯৬</v>
      </c>
      <c r="H3029" s="75" t="s">
        <v>322</v>
      </c>
      <c r="I3029" s="75" t="s">
        <v>322</v>
      </c>
      <c r="J3029" s="5"/>
    </row>
    <row r="3030" spans="1:10" x14ac:dyDescent="0.25">
      <c r="A3030" s="39">
        <v>3029</v>
      </c>
      <c r="B3030" s="3" t="s">
        <v>3984</v>
      </c>
      <c r="C3030" s="75" t="s">
        <v>3985</v>
      </c>
      <c r="D3030" s="75" t="s">
        <v>1474</v>
      </c>
      <c r="E3030" s="75" t="str">
        <f t="shared" si="56"/>
        <v>০</v>
      </c>
      <c r="F3030" s="22" t="str">
        <f>"8119457814003"</f>
        <v>8119457814003</v>
      </c>
      <c r="G3030" s="75" t="str">
        <f>"০১৯৫"</f>
        <v>০১৯৫</v>
      </c>
      <c r="H3030" s="75" t="s">
        <v>1434</v>
      </c>
      <c r="I3030" s="75" t="s">
        <v>1434</v>
      </c>
      <c r="J3030" s="5"/>
    </row>
    <row r="3031" spans="1:10" x14ac:dyDescent="0.25">
      <c r="A3031" s="39">
        <v>3030</v>
      </c>
      <c r="B3031" s="3" t="s">
        <v>3986</v>
      </c>
      <c r="C3031" s="75" t="s">
        <v>3987</v>
      </c>
      <c r="D3031" s="75" t="s">
        <v>1474</v>
      </c>
      <c r="E3031" s="75" t="str">
        <f t="shared" si="56"/>
        <v>০</v>
      </c>
      <c r="F3031" s="22" t="str">
        <f>"8119457812592"</f>
        <v>8119457812592</v>
      </c>
      <c r="G3031" s="75" t="str">
        <f>"০১৯৪"</f>
        <v>০১৯৪</v>
      </c>
      <c r="H3031" s="75" t="s">
        <v>319</v>
      </c>
      <c r="I3031" s="75" t="s">
        <v>319</v>
      </c>
      <c r="J3031" s="5"/>
    </row>
    <row r="3032" spans="1:10" x14ac:dyDescent="0.25">
      <c r="A3032" s="39">
        <v>3031</v>
      </c>
      <c r="B3032" s="3" t="s">
        <v>3988</v>
      </c>
      <c r="C3032" s="75" t="s">
        <v>3989</v>
      </c>
      <c r="D3032" s="75" t="s">
        <v>1474</v>
      </c>
      <c r="E3032" s="75" t="str">
        <f t="shared" si="56"/>
        <v>০</v>
      </c>
      <c r="F3032" s="22" t="str">
        <f>"8119457813013"</f>
        <v>8119457813013</v>
      </c>
      <c r="G3032" s="75" t="str">
        <f>"০১৯৩"</f>
        <v>০১৯৩</v>
      </c>
      <c r="H3032" s="75" t="s">
        <v>371</v>
      </c>
      <c r="I3032" s="75" t="s">
        <v>371</v>
      </c>
      <c r="J3032" s="5"/>
    </row>
    <row r="3033" spans="1:10" x14ac:dyDescent="0.25">
      <c r="A3033" s="39">
        <v>3032</v>
      </c>
      <c r="B3033" s="3" t="s">
        <v>3990</v>
      </c>
      <c r="C3033" s="75" t="s">
        <v>3991</v>
      </c>
      <c r="D3033" s="75" t="s">
        <v>1474</v>
      </c>
      <c r="E3033" s="75" t="str">
        <f>"০১৭১৯৭৯২৫১৩"</f>
        <v>০১৭১৯৭৯২৫১৩</v>
      </c>
      <c r="F3033" s="22" t="str">
        <f>"8119457813014"</f>
        <v>8119457813014</v>
      </c>
      <c r="G3033" s="75" t="str">
        <f>"০১৯২"</f>
        <v>০১৯২</v>
      </c>
      <c r="H3033" s="75" t="s">
        <v>322</v>
      </c>
      <c r="I3033" s="75" t="s">
        <v>322</v>
      </c>
      <c r="J3033" s="5"/>
    </row>
    <row r="3034" spans="1:10" x14ac:dyDescent="0.25">
      <c r="A3034" s="39">
        <v>3033</v>
      </c>
      <c r="B3034" s="3" t="s">
        <v>3992</v>
      </c>
      <c r="C3034" s="75" t="s">
        <v>3993</v>
      </c>
      <c r="D3034" s="75" t="s">
        <v>1474</v>
      </c>
      <c r="E3034" s="75" t="str">
        <f>"০১৭১৯৬১৮০৪৩"</f>
        <v>০১৭১৯৬১৮০৪৩</v>
      </c>
      <c r="F3034" s="22" t="str">
        <f>"8119457813019"</f>
        <v>8119457813019</v>
      </c>
      <c r="G3034" s="75" t="str">
        <f>"০১৯১"</f>
        <v>০১৯১</v>
      </c>
      <c r="H3034" s="75" t="s">
        <v>371</v>
      </c>
      <c r="I3034" s="75" t="s">
        <v>371</v>
      </c>
      <c r="J3034" s="5"/>
    </row>
    <row r="3035" spans="1:10" x14ac:dyDescent="0.25">
      <c r="A3035" s="39">
        <v>3034</v>
      </c>
      <c r="B3035" s="3" t="s">
        <v>1863</v>
      </c>
      <c r="C3035" s="75" t="s">
        <v>3994</v>
      </c>
      <c r="D3035" s="75" t="s">
        <v>1474</v>
      </c>
      <c r="E3035" s="75" t="str">
        <f>"০"</f>
        <v>০</v>
      </c>
      <c r="F3035" s="22" t="str">
        <f>"8119457814080"</f>
        <v>8119457814080</v>
      </c>
      <c r="G3035" s="75" t="str">
        <f>"০১৯০"</f>
        <v>০১৯০</v>
      </c>
      <c r="H3035" s="75" t="s">
        <v>371</v>
      </c>
      <c r="I3035" s="75" t="s">
        <v>371</v>
      </c>
      <c r="J3035" s="5"/>
    </row>
    <row r="3036" spans="1:10" x14ac:dyDescent="0.25">
      <c r="A3036" s="39">
        <v>3035</v>
      </c>
      <c r="B3036" s="3" t="s">
        <v>1713</v>
      </c>
      <c r="C3036" s="75" t="s">
        <v>1863</v>
      </c>
      <c r="D3036" s="75" t="s">
        <v>1474</v>
      </c>
      <c r="E3036" s="75" t="str">
        <f>"০"</f>
        <v>০</v>
      </c>
      <c r="F3036" s="22" t="str">
        <f>"8119457814060"</f>
        <v>8119457814060</v>
      </c>
      <c r="G3036" s="75" t="str">
        <f>"০১৮৯"</f>
        <v>০১৮৯</v>
      </c>
      <c r="H3036" s="75" t="s">
        <v>322</v>
      </c>
      <c r="I3036" s="75" t="s">
        <v>322</v>
      </c>
      <c r="J3036" s="5"/>
    </row>
    <row r="3037" spans="1:10" x14ac:dyDescent="0.25">
      <c r="A3037" s="39">
        <v>3036</v>
      </c>
      <c r="B3037" s="3" t="s">
        <v>3995</v>
      </c>
      <c r="C3037" s="75" t="s">
        <v>1863</v>
      </c>
      <c r="D3037" s="75" t="s">
        <v>1474</v>
      </c>
      <c r="E3037" s="75" t="str">
        <f>"০"</f>
        <v>০</v>
      </c>
      <c r="F3037" s="22" t="str">
        <f>"8119457814058"</f>
        <v>8119457814058</v>
      </c>
      <c r="G3037" s="75" t="str">
        <f>"০১৮৮"</f>
        <v>০১৮৮</v>
      </c>
      <c r="H3037" s="75" t="s">
        <v>371</v>
      </c>
      <c r="I3037" s="75" t="s">
        <v>371</v>
      </c>
      <c r="J3037" s="5"/>
    </row>
    <row r="3038" spans="1:10" x14ac:dyDescent="0.25">
      <c r="A3038" s="39">
        <v>3037</v>
      </c>
      <c r="B3038" s="3" t="s">
        <v>3996</v>
      </c>
      <c r="C3038" s="75" t="s">
        <v>3997</v>
      </c>
      <c r="D3038" s="75" t="s">
        <v>1474</v>
      </c>
      <c r="E3038" s="75" t="str">
        <f>"০১৭৮৬৭৩৮৫২৩"</f>
        <v>০১৭৮৬৭৩৮৫২৩</v>
      </c>
      <c r="F3038" s="22" t="str">
        <f>"8119457818653"</f>
        <v>8119457818653</v>
      </c>
      <c r="G3038" s="75" t="str">
        <f>"০১৮৭"</f>
        <v>০১৮৭</v>
      </c>
      <c r="H3038" s="75" t="s">
        <v>364</v>
      </c>
      <c r="I3038" s="75" t="s">
        <v>364</v>
      </c>
      <c r="J3038" s="5"/>
    </row>
    <row r="3039" spans="1:10" x14ac:dyDescent="0.25">
      <c r="A3039" s="39">
        <v>3038</v>
      </c>
      <c r="B3039" s="3" t="s">
        <v>2048</v>
      </c>
      <c r="C3039" s="75" t="s">
        <v>2866</v>
      </c>
      <c r="D3039" s="75" t="s">
        <v>1474</v>
      </c>
      <c r="E3039" s="75" t="str">
        <f>"০"</f>
        <v>০</v>
      </c>
      <c r="F3039" s="22" t="str">
        <f>"8119457812893"</f>
        <v>8119457812893</v>
      </c>
      <c r="G3039" s="75" t="str">
        <f>"০১৮৬"</f>
        <v>০১৮৬</v>
      </c>
      <c r="H3039" s="75" t="s">
        <v>371</v>
      </c>
      <c r="I3039" s="75" t="s">
        <v>371</v>
      </c>
      <c r="J3039" s="5"/>
    </row>
    <row r="3040" spans="1:10" x14ac:dyDescent="0.25">
      <c r="A3040" s="39">
        <v>3039</v>
      </c>
      <c r="B3040" s="3" t="s">
        <v>3998</v>
      </c>
      <c r="C3040" s="75" t="s">
        <v>3999</v>
      </c>
      <c r="D3040" s="75" t="s">
        <v>1474</v>
      </c>
      <c r="E3040" s="75" t="str">
        <f>"০১৭৪৫২৫১৯৩৪"</f>
        <v>০১৭৪৫২৫১৯৩৪</v>
      </c>
      <c r="F3040" s="22" t="str">
        <f>"8119457812544"</f>
        <v>8119457812544</v>
      </c>
      <c r="G3040" s="75" t="str">
        <f>"০১৮৫"</f>
        <v>০১৮৫</v>
      </c>
      <c r="H3040" s="75" t="s">
        <v>371</v>
      </c>
      <c r="I3040" s="75" t="s">
        <v>371</v>
      </c>
      <c r="J3040" s="5"/>
    </row>
    <row r="3041" spans="1:10" x14ac:dyDescent="0.25">
      <c r="A3041" s="39">
        <v>3040</v>
      </c>
      <c r="B3041" s="3" t="s">
        <v>4000</v>
      </c>
      <c r="C3041" s="75" t="s">
        <v>4001</v>
      </c>
      <c r="D3041" s="75" t="s">
        <v>1474</v>
      </c>
      <c r="E3041" s="75" t="str">
        <f>"০১৭২০৯৬৬০৬২"</f>
        <v>০১৭২০৯৬৬০৬২</v>
      </c>
      <c r="F3041" s="22" t="str">
        <f>"8119457813355"</f>
        <v>8119457813355</v>
      </c>
      <c r="G3041" s="75" t="str">
        <f>"০১৮৪"</f>
        <v>০১৮৪</v>
      </c>
      <c r="H3041" s="75" t="s">
        <v>371</v>
      </c>
      <c r="I3041" s="75" t="s">
        <v>371</v>
      </c>
      <c r="J3041" s="5"/>
    </row>
    <row r="3042" spans="1:10" x14ac:dyDescent="0.25">
      <c r="A3042" s="39">
        <v>3041</v>
      </c>
      <c r="B3042" s="3" t="s">
        <v>4002</v>
      </c>
      <c r="C3042" s="75" t="s">
        <v>4001</v>
      </c>
      <c r="D3042" s="75" t="s">
        <v>1474</v>
      </c>
      <c r="E3042" s="75" t="str">
        <f>"০১৭৭৩৮৫৪৫১৬"</f>
        <v>০১৭৭৩৮৫৪৫১৬</v>
      </c>
      <c r="F3042" s="22" t="str">
        <f>"8119457813354"</f>
        <v>8119457813354</v>
      </c>
      <c r="G3042" s="75" t="str">
        <f>"০১৮৩"</f>
        <v>০১৮৩</v>
      </c>
      <c r="H3042" s="75" t="s">
        <v>322</v>
      </c>
      <c r="I3042" s="75" t="s">
        <v>322</v>
      </c>
      <c r="J3042" s="5"/>
    </row>
    <row r="3043" spans="1:10" x14ac:dyDescent="0.25">
      <c r="A3043" s="39">
        <v>3042</v>
      </c>
      <c r="B3043" s="3" t="s">
        <v>4003</v>
      </c>
      <c r="C3043" s="75" t="s">
        <v>4004</v>
      </c>
      <c r="D3043" s="75" t="s">
        <v>1474</v>
      </c>
      <c r="E3043" s="75" t="str">
        <f>"০১৭৫৩৬১৮৩৬০"</f>
        <v>০১৭৫৩৬১৮৩৬০</v>
      </c>
      <c r="F3043" s="22" t="str">
        <f>"8119457812511"</f>
        <v>8119457812511</v>
      </c>
      <c r="G3043" s="75" t="str">
        <f>"০১৮২"</f>
        <v>০১৮২</v>
      </c>
      <c r="H3043" s="75" t="s">
        <v>371</v>
      </c>
      <c r="I3043" s="75" t="s">
        <v>371</v>
      </c>
      <c r="J3043" s="5"/>
    </row>
    <row r="3044" spans="1:10" x14ac:dyDescent="0.25">
      <c r="A3044" s="39">
        <v>3043</v>
      </c>
      <c r="B3044" s="3" t="s">
        <v>4005</v>
      </c>
      <c r="C3044" s="75" t="s">
        <v>4006</v>
      </c>
      <c r="D3044" s="75" t="s">
        <v>1474</v>
      </c>
      <c r="E3044" s="75" t="str">
        <f>"০১৭২১৯১৩০৯৬"</f>
        <v>০১৭২১৯১৩০৯৬</v>
      </c>
      <c r="F3044" s="22" t="str">
        <f>"8119457812643"</f>
        <v>8119457812643</v>
      </c>
      <c r="G3044" s="75" t="str">
        <f>"০১৮১"</f>
        <v>০১৮১</v>
      </c>
      <c r="H3044" s="75" t="s">
        <v>329</v>
      </c>
      <c r="I3044" s="75" t="s">
        <v>329</v>
      </c>
      <c r="J3044" s="5"/>
    </row>
    <row r="3045" spans="1:10" x14ac:dyDescent="0.25">
      <c r="A3045" s="39">
        <v>3044</v>
      </c>
      <c r="B3045" s="3" t="s">
        <v>4007</v>
      </c>
      <c r="C3045" s="75" t="s">
        <v>4008</v>
      </c>
      <c r="D3045" s="75" t="s">
        <v>1474</v>
      </c>
      <c r="E3045" s="75" t="str">
        <f>"০"</f>
        <v>০</v>
      </c>
      <c r="F3045" s="22" t="str">
        <f>"8119457812780"</f>
        <v>8119457812780</v>
      </c>
      <c r="G3045" s="75" t="str">
        <f>"০১৮০"</f>
        <v>০১৮০</v>
      </c>
      <c r="H3045" s="75" t="s">
        <v>371</v>
      </c>
      <c r="I3045" s="75" t="s">
        <v>371</v>
      </c>
      <c r="J3045" s="5"/>
    </row>
    <row r="3046" spans="1:10" x14ac:dyDescent="0.25">
      <c r="A3046" s="39">
        <v>3045</v>
      </c>
      <c r="B3046" s="3" t="s">
        <v>4009</v>
      </c>
      <c r="C3046" s="75" t="s">
        <v>4010</v>
      </c>
      <c r="D3046" s="75" t="s">
        <v>1474</v>
      </c>
      <c r="E3046" s="75" t="str">
        <f>"০১৭৪৫৪৫৭২১৯"</f>
        <v>০১৭৪৫৪৫৭২১৯</v>
      </c>
      <c r="F3046" s="22" t="str">
        <f>"8119457812648"</f>
        <v>8119457812648</v>
      </c>
      <c r="G3046" s="75" t="str">
        <f>"০১৭৯"</f>
        <v>০১৭৯</v>
      </c>
      <c r="H3046" s="75" t="s">
        <v>371</v>
      </c>
      <c r="I3046" s="75" t="s">
        <v>371</v>
      </c>
      <c r="J3046" s="5"/>
    </row>
    <row r="3047" spans="1:10" x14ac:dyDescent="0.25">
      <c r="A3047" s="39">
        <v>3046</v>
      </c>
      <c r="B3047" s="3" t="s">
        <v>4011</v>
      </c>
      <c r="C3047" s="75" t="s">
        <v>4010</v>
      </c>
      <c r="D3047" s="75" t="s">
        <v>1474</v>
      </c>
      <c r="E3047" s="75" t="str">
        <f>"০১৭৬৪৯৯৭১২০"</f>
        <v>০১৭৬৪৯৯৭১২০</v>
      </c>
      <c r="F3047" s="22" t="str">
        <f>"8119457812645"</f>
        <v>8119457812645</v>
      </c>
      <c r="G3047" s="75" t="str">
        <f>"০১৭৮"</f>
        <v>০১৭৮</v>
      </c>
      <c r="H3047" s="75" t="s">
        <v>371</v>
      </c>
      <c r="I3047" s="75" t="s">
        <v>371</v>
      </c>
      <c r="J3047" s="5"/>
    </row>
    <row r="3048" spans="1:10" x14ac:dyDescent="0.25">
      <c r="A3048" s="39">
        <v>3047</v>
      </c>
      <c r="B3048" s="3" t="s">
        <v>4012</v>
      </c>
      <c r="C3048" s="75" t="s">
        <v>4013</v>
      </c>
      <c r="D3048" s="75" t="s">
        <v>1474</v>
      </c>
      <c r="E3048" s="75" t="str">
        <f>"০১৭১৫৯৭৫১৪৫"</f>
        <v>০১৭১৫৯৭৫১৪৫</v>
      </c>
      <c r="F3048" s="22" t="str">
        <f>"8119457812767"</f>
        <v>8119457812767</v>
      </c>
      <c r="G3048" s="75" t="str">
        <f>"০১৭৭"</f>
        <v>০১৭৭</v>
      </c>
      <c r="H3048" s="75" t="s">
        <v>371</v>
      </c>
      <c r="I3048" s="75" t="s">
        <v>371</v>
      </c>
      <c r="J3048" s="5"/>
    </row>
    <row r="3049" spans="1:10" x14ac:dyDescent="0.25">
      <c r="A3049" s="39">
        <v>3048</v>
      </c>
      <c r="B3049" s="3" t="s">
        <v>4014</v>
      </c>
      <c r="C3049" s="75" t="s">
        <v>4012</v>
      </c>
      <c r="D3049" s="75" t="s">
        <v>1474</v>
      </c>
      <c r="E3049" s="75" t="str">
        <f>"০১৭১৫৯৭৫১৪৫"</f>
        <v>০১৭১৫৯৭৫১৪৫</v>
      </c>
      <c r="F3049" s="22" t="str">
        <f>"8119457813739"</f>
        <v>8119457813739</v>
      </c>
      <c r="G3049" s="75" t="str">
        <f>"০১৭৬"</f>
        <v>০১৭৬</v>
      </c>
      <c r="H3049" s="75" t="s">
        <v>322</v>
      </c>
      <c r="I3049" s="75" t="s">
        <v>322</v>
      </c>
      <c r="J3049" s="5"/>
    </row>
    <row r="3050" spans="1:10" x14ac:dyDescent="0.25">
      <c r="A3050" s="39">
        <v>3049</v>
      </c>
      <c r="B3050" s="3" t="s">
        <v>4015</v>
      </c>
      <c r="C3050" s="75" t="s">
        <v>4016</v>
      </c>
      <c r="D3050" s="75" t="s">
        <v>1474</v>
      </c>
      <c r="E3050" s="75" t="str">
        <f>"০১৭২২৯০৫৬৪৯"</f>
        <v>০১৭২২৯০৫৬৪৯</v>
      </c>
      <c r="F3050" s="22" t="str">
        <f>"8119457812762"</f>
        <v>8119457812762</v>
      </c>
      <c r="G3050" s="75" t="str">
        <f>"০১৭৫"</f>
        <v>০১৭৫</v>
      </c>
      <c r="H3050" s="75" t="s">
        <v>322</v>
      </c>
      <c r="I3050" s="75" t="s">
        <v>322</v>
      </c>
      <c r="J3050" s="5"/>
    </row>
    <row r="3051" spans="1:10" x14ac:dyDescent="0.25">
      <c r="A3051" s="39">
        <v>3050</v>
      </c>
      <c r="B3051" s="3" t="s">
        <v>4017</v>
      </c>
      <c r="C3051" s="75" t="s">
        <v>4015</v>
      </c>
      <c r="D3051" s="75" t="s">
        <v>1474</v>
      </c>
      <c r="E3051" s="75" t="str">
        <f>"০১৭১৭৭২৫৬৮৫"</f>
        <v>০১৭১৭৭২৫৬৮৫</v>
      </c>
      <c r="F3051" s="22" t="str">
        <f>"8119457812764"</f>
        <v>8119457812764</v>
      </c>
      <c r="G3051" s="75" t="str">
        <f>"০১৭৪"</f>
        <v>০১৭৪</v>
      </c>
      <c r="H3051" s="75" t="s">
        <v>371</v>
      </c>
      <c r="I3051" s="75" t="s">
        <v>371</v>
      </c>
      <c r="J3051" s="5"/>
    </row>
    <row r="3052" spans="1:10" x14ac:dyDescent="0.25">
      <c r="A3052" s="39">
        <v>3051</v>
      </c>
      <c r="B3052" s="3" t="s">
        <v>4018</v>
      </c>
      <c r="C3052" s="75" t="s">
        <v>3987</v>
      </c>
      <c r="D3052" s="75" t="s">
        <v>1474</v>
      </c>
      <c r="E3052" s="75" t="str">
        <f>"০"</f>
        <v>০</v>
      </c>
      <c r="F3052" s="22" t="str">
        <f>"8119457812590"</f>
        <v>8119457812590</v>
      </c>
      <c r="G3052" s="75" t="str">
        <f>"০১৭৩"</f>
        <v>০১৭৩</v>
      </c>
      <c r="H3052" s="75" t="s">
        <v>371</v>
      </c>
      <c r="I3052" s="75" t="s">
        <v>371</v>
      </c>
      <c r="J3052" s="5"/>
    </row>
    <row r="3053" spans="1:10" x14ac:dyDescent="0.25">
      <c r="A3053" s="39">
        <v>3052</v>
      </c>
      <c r="B3053" s="3" t="s">
        <v>4019</v>
      </c>
      <c r="C3053" s="75" t="s">
        <v>4020</v>
      </c>
      <c r="D3053" s="75" t="s">
        <v>1474</v>
      </c>
      <c r="E3053" s="75" t="str">
        <f>"০১৭৪৬০২৭৫৯৬"</f>
        <v>০১৭৪৬০২৭৫৯৬</v>
      </c>
      <c r="F3053" s="22" t="str">
        <f>"8119457812520"</f>
        <v>8119457812520</v>
      </c>
      <c r="G3053" s="75" t="str">
        <f>"০১৭২"</f>
        <v>০১৭২</v>
      </c>
      <c r="H3053" s="75" t="s">
        <v>371</v>
      </c>
      <c r="I3053" s="75" t="s">
        <v>371</v>
      </c>
      <c r="J3053" s="5"/>
    </row>
    <row r="3054" spans="1:10" x14ac:dyDescent="0.25">
      <c r="A3054" s="39">
        <v>3053</v>
      </c>
      <c r="B3054" s="3" t="s">
        <v>4021</v>
      </c>
      <c r="C3054" s="75" t="s">
        <v>4022</v>
      </c>
      <c r="D3054" s="75" t="s">
        <v>1474</v>
      </c>
      <c r="E3054" s="75" t="str">
        <f>"০১৭৫০৭৮৯৩৭৬"</f>
        <v>০১৭৫০৭৮৯৩৭৬</v>
      </c>
      <c r="F3054" s="22" t="str">
        <f>"8119457813399"</f>
        <v>8119457813399</v>
      </c>
      <c r="G3054" s="75" t="str">
        <f>"০১৭১"</f>
        <v>০১৭১</v>
      </c>
      <c r="H3054" s="75" t="s">
        <v>371</v>
      </c>
      <c r="I3054" s="75" t="s">
        <v>371</v>
      </c>
      <c r="J3054" s="5"/>
    </row>
    <row r="3055" spans="1:10" x14ac:dyDescent="0.25">
      <c r="A3055" s="39">
        <v>3054</v>
      </c>
      <c r="B3055" s="3" t="s">
        <v>4023</v>
      </c>
      <c r="C3055" s="75" t="s">
        <v>4024</v>
      </c>
      <c r="D3055" s="75" t="s">
        <v>1474</v>
      </c>
      <c r="E3055" s="75" t="str">
        <f>"০১৭৫০৯৫২২৫৯"</f>
        <v>০১৭৫০৯৫২২৫৯</v>
      </c>
      <c r="F3055" s="22" t="str">
        <f>"8119457813383"</f>
        <v>8119457813383</v>
      </c>
      <c r="G3055" s="75" t="str">
        <f>"০১৭০"</f>
        <v>০১৭০</v>
      </c>
      <c r="H3055" s="75" t="s">
        <v>371</v>
      </c>
      <c r="I3055" s="75" t="s">
        <v>371</v>
      </c>
      <c r="J3055" s="5"/>
    </row>
    <row r="3056" spans="1:10" x14ac:dyDescent="0.25">
      <c r="A3056" s="39">
        <v>3055</v>
      </c>
      <c r="B3056" s="3" t="s">
        <v>4025</v>
      </c>
      <c r="C3056" s="75" t="s">
        <v>3947</v>
      </c>
      <c r="D3056" s="75" t="s">
        <v>1474</v>
      </c>
      <c r="E3056" s="75" t="str">
        <f>"০"</f>
        <v>০</v>
      </c>
      <c r="F3056" s="22" t="str">
        <f>"8119457812574"</f>
        <v>8119457812574</v>
      </c>
      <c r="G3056" s="75" t="str">
        <f>"০১৬৯"</f>
        <v>০১৬৯</v>
      </c>
      <c r="H3056" s="75" t="s">
        <v>322</v>
      </c>
      <c r="I3056" s="75" t="s">
        <v>322</v>
      </c>
      <c r="J3056" s="5"/>
    </row>
    <row r="3057" spans="1:10" x14ac:dyDescent="0.25">
      <c r="A3057" s="39">
        <v>3056</v>
      </c>
      <c r="B3057" s="3" t="s">
        <v>4026</v>
      </c>
      <c r="C3057" s="75" t="s">
        <v>3947</v>
      </c>
      <c r="D3057" s="75" t="s">
        <v>1474</v>
      </c>
      <c r="E3057" s="75" t="str">
        <f>"০"</f>
        <v>০</v>
      </c>
      <c r="F3057" s="22" t="str">
        <f>"8119457812578"</f>
        <v>8119457812578</v>
      </c>
      <c r="G3057" s="75" t="str">
        <f>"০১৬৮"</f>
        <v>০১৬৮</v>
      </c>
      <c r="H3057" s="75" t="s">
        <v>371</v>
      </c>
      <c r="I3057" s="75" t="s">
        <v>371</v>
      </c>
      <c r="J3057" s="5"/>
    </row>
    <row r="3058" spans="1:10" x14ac:dyDescent="0.25">
      <c r="A3058" s="39">
        <v>3057</v>
      </c>
      <c r="B3058" s="3" t="s">
        <v>4027</v>
      </c>
      <c r="C3058" s="75" t="s">
        <v>4028</v>
      </c>
      <c r="D3058" s="75" t="s">
        <v>1474</v>
      </c>
      <c r="E3058" s="75" t="str">
        <f>"০"</f>
        <v>০</v>
      </c>
      <c r="F3058" s="22" t="str">
        <f>"8119457812745"</f>
        <v>8119457812745</v>
      </c>
      <c r="G3058" s="75" t="str">
        <f>"০১৬৭"</f>
        <v>০১৬৭</v>
      </c>
      <c r="H3058" s="75" t="s">
        <v>371</v>
      </c>
      <c r="I3058" s="75" t="s">
        <v>371</v>
      </c>
      <c r="J3058" s="5"/>
    </row>
    <row r="3059" spans="1:10" x14ac:dyDescent="0.25">
      <c r="A3059" s="39">
        <v>3058</v>
      </c>
      <c r="B3059" s="3" t="s">
        <v>4029</v>
      </c>
      <c r="C3059" s="75" t="s">
        <v>4030</v>
      </c>
      <c r="D3059" s="75" t="s">
        <v>1474</v>
      </c>
      <c r="E3059" s="75" t="str">
        <f>"০১৭৪৪৩৫৫৩৪১"</f>
        <v>০১৭৪৪৩৫৫৩৪১</v>
      </c>
      <c r="F3059" s="22" t="str">
        <f>"8119457812618"</f>
        <v>8119457812618</v>
      </c>
      <c r="G3059" s="75" t="str">
        <f>"০১৬৬"</f>
        <v>০১৬৬</v>
      </c>
      <c r="H3059" s="75" t="s">
        <v>371</v>
      </c>
      <c r="I3059" s="75" t="s">
        <v>371</v>
      </c>
      <c r="J3059" s="5"/>
    </row>
    <row r="3060" spans="1:10" x14ac:dyDescent="0.25">
      <c r="A3060" s="39">
        <v>3059</v>
      </c>
      <c r="B3060" s="3" t="s">
        <v>4031</v>
      </c>
      <c r="C3060" s="75" t="s">
        <v>4032</v>
      </c>
      <c r="D3060" s="75" t="s">
        <v>1474</v>
      </c>
      <c r="E3060" s="75" t="str">
        <f>"০১৭৪৫০৭৭১৬৬"</f>
        <v>০১৭৪৫০৭৭১৬৬</v>
      </c>
      <c r="F3060" s="22" t="str">
        <f>"8119457812678"</f>
        <v>8119457812678</v>
      </c>
      <c r="G3060" s="75" t="str">
        <f>"০১৬৫"</f>
        <v>০১৬৫</v>
      </c>
      <c r="H3060" s="75" t="s">
        <v>371</v>
      </c>
      <c r="I3060" s="75" t="s">
        <v>371</v>
      </c>
      <c r="J3060" s="5"/>
    </row>
    <row r="3061" spans="1:10" x14ac:dyDescent="0.25">
      <c r="A3061" s="39">
        <v>3060</v>
      </c>
      <c r="B3061" s="3" t="s">
        <v>1837</v>
      </c>
      <c r="C3061" s="75" t="s">
        <v>4033</v>
      </c>
      <c r="D3061" s="75" t="s">
        <v>1474</v>
      </c>
      <c r="E3061" s="75" t="str">
        <f>"০"</f>
        <v>০</v>
      </c>
      <c r="F3061" s="22" t="str">
        <f>"8119457814831"</f>
        <v>8119457814831</v>
      </c>
      <c r="G3061" s="75" t="str">
        <f>"০১৬৪"</f>
        <v>০১৬৪</v>
      </c>
      <c r="H3061" s="75" t="s">
        <v>371</v>
      </c>
      <c r="I3061" s="75" t="s">
        <v>371</v>
      </c>
      <c r="J3061" s="5"/>
    </row>
    <row r="3062" spans="1:10" x14ac:dyDescent="0.25">
      <c r="A3062" s="39">
        <v>3061</v>
      </c>
      <c r="B3062" s="3" t="s">
        <v>2254</v>
      </c>
      <c r="C3062" s="75" t="s">
        <v>4034</v>
      </c>
      <c r="D3062" s="75" t="s">
        <v>1474</v>
      </c>
      <c r="E3062" s="75" t="str">
        <f>"০"</f>
        <v>০</v>
      </c>
      <c r="F3062" s="22" t="str">
        <f>"8119457813997"</f>
        <v>8119457813997</v>
      </c>
      <c r="G3062" s="75" t="str">
        <f>"০১৬৩"</f>
        <v>০১৬৩</v>
      </c>
      <c r="H3062" s="75" t="s">
        <v>371</v>
      </c>
      <c r="I3062" s="75" t="s">
        <v>371</v>
      </c>
      <c r="J3062" s="5"/>
    </row>
    <row r="3063" spans="1:10" x14ac:dyDescent="0.25">
      <c r="A3063" s="39">
        <v>3062</v>
      </c>
      <c r="B3063" s="3" t="s">
        <v>4035</v>
      </c>
      <c r="C3063" s="75" t="s">
        <v>4036</v>
      </c>
      <c r="D3063" s="75" t="s">
        <v>1474</v>
      </c>
      <c r="E3063" s="75" t="str">
        <f>"০"</f>
        <v>০</v>
      </c>
      <c r="F3063" s="22" t="str">
        <f>"8119457812681"</f>
        <v>8119457812681</v>
      </c>
      <c r="G3063" s="75" t="str">
        <f>"০১৬২"</f>
        <v>০১৬২</v>
      </c>
      <c r="H3063" s="75" t="s">
        <v>322</v>
      </c>
      <c r="I3063" s="75" t="s">
        <v>322</v>
      </c>
      <c r="J3063" s="5"/>
    </row>
    <row r="3064" spans="1:10" x14ac:dyDescent="0.25">
      <c r="A3064" s="39">
        <v>3063</v>
      </c>
      <c r="B3064" s="3" t="s">
        <v>4037</v>
      </c>
      <c r="C3064" s="75" t="s">
        <v>4038</v>
      </c>
      <c r="D3064" s="75" t="s">
        <v>1474</v>
      </c>
      <c r="E3064" s="75" t="str">
        <f>"০"</f>
        <v>০</v>
      </c>
      <c r="F3064" s="22" t="str">
        <f>"8119457812629"</f>
        <v>8119457812629</v>
      </c>
      <c r="G3064" s="75" t="str">
        <f>"০১৬১"</f>
        <v>০১৬১</v>
      </c>
      <c r="H3064" s="75" t="s">
        <v>371</v>
      </c>
      <c r="I3064" s="75" t="s">
        <v>371</v>
      </c>
      <c r="J3064" s="5"/>
    </row>
    <row r="3065" spans="1:10" x14ac:dyDescent="0.25">
      <c r="A3065" s="39">
        <v>3064</v>
      </c>
      <c r="B3065" s="3" t="s">
        <v>4039</v>
      </c>
      <c r="C3065" s="75" t="s">
        <v>4040</v>
      </c>
      <c r="D3065" s="75" t="s">
        <v>1474</v>
      </c>
      <c r="E3065" s="75" t="str">
        <f>"০১৭৬১১৬৪৬৫৪"</f>
        <v>০১৭৬১১৬৪৬৫৪</v>
      </c>
      <c r="F3065" s="22" t="str">
        <f>"8119457812713"</f>
        <v>8119457812713</v>
      </c>
      <c r="G3065" s="75" t="str">
        <f>"০১৬০"</f>
        <v>০১৬০</v>
      </c>
      <c r="H3065" s="75" t="s">
        <v>329</v>
      </c>
      <c r="I3065" s="75" t="s">
        <v>329</v>
      </c>
      <c r="J3065" s="5"/>
    </row>
    <row r="3066" spans="1:10" x14ac:dyDescent="0.25">
      <c r="A3066" s="39">
        <v>3065</v>
      </c>
      <c r="B3066" s="3" t="s">
        <v>4041</v>
      </c>
      <c r="C3066" s="75" t="s">
        <v>4042</v>
      </c>
      <c r="D3066" s="75" t="s">
        <v>1474</v>
      </c>
      <c r="E3066" s="75" t="str">
        <f>"০১৭৪৪৫৬৩৯৩৬"</f>
        <v>০১৭৪৪৫৬৩৯৩৬</v>
      </c>
      <c r="F3066" s="22" t="str">
        <f>"8119457812518"</f>
        <v>8119457812518</v>
      </c>
      <c r="G3066" s="75" t="str">
        <f>"০১৫৯"</f>
        <v>০১৫৯</v>
      </c>
      <c r="H3066" s="75" t="s">
        <v>319</v>
      </c>
      <c r="I3066" s="75" t="s">
        <v>319</v>
      </c>
      <c r="J3066" s="5"/>
    </row>
    <row r="3067" spans="1:10" x14ac:dyDescent="0.25">
      <c r="A3067" s="39">
        <v>3066</v>
      </c>
      <c r="B3067" s="3" t="s">
        <v>4043</v>
      </c>
      <c r="C3067" s="75" t="s">
        <v>4044</v>
      </c>
      <c r="D3067" s="75" t="s">
        <v>1474</v>
      </c>
      <c r="E3067" s="75" t="str">
        <f>"০১৭৩৪৩৯২২৬৩"</f>
        <v>০১৭৩৪৩৯২২৬৩</v>
      </c>
      <c r="F3067" s="22" t="str">
        <f>"8119457812632"</f>
        <v>8119457812632</v>
      </c>
      <c r="G3067" s="75" t="str">
        <f>"০১৫৮"</f>
        <v>০১৫৮</v>
      </c>
      <c r="H3067" s="75" t="s">
        <v>319</v>
      </c>
      <c r="I3067" s="75" t="s">
        <v>319</v>
      </c>
      <c r="J3067" s="5"/>
    </row>
    <row r="3068" spans="1:10" x14ac:dyDescent="0.25">
      <c r="A3068" s="39">
        <v>3067</v>
      </c>
      <c r="B3068" s="3" t="s">
        <v>4045</v>
      </c>
      <c r="C3068" s="75" t="s">
        <v>4046</v>
      </c>
      <c r="D3068" s="75" t="s">
        <v>1474</v>
      </c>
      <c r="E3068" s="75" t="str">
        <f>"০"</f>
        <v>০</v>
      </c>
      <c r="F3068" s="22" t="str">
        <f>"8119457812664"</f>
        <v>8119457812664</v>
      </c>
      <c r="G3068" s="75" t="str">
        <f>"০১৫৭"</f>
        <v>০১৫৭</v>
      </c>
      <c r="H3068" s="75" t="s">
        <v>319</v>
      </c>
      <c r="I3068" s="75" t="s">
        <v>319</v>
      </c>
      <c r="J3068" s="5"/>
    </row>
    <row r="3069" spans="1:10" x14ac:dyDescent="0.25">
      <c r="A3069" s="39">
        <v>3068</v>
      </c>
      <c r="B3069" s="3" t="s">
        <v>4047</v>
      </c>
      <c r="C3069" s="75" t="s">
        <v>4048</v>
      </c>
      <c r="D3069" s="75" t="s">
        <v>1474</v>
      </c>
      <c r="E3069" s="75" t="str">
        <f>"০১৭৩৭৮৪১৪২০"</f>
        <v>০১৭৩৭৮৪১৪২০</v>
      </c>
      <c r="F3069" s="22" t="str">
        <f>"8119457813379"</f>
        <v>8119457813379</v>
      </c>
      <c r="G3069" s="75" t="str">
        <f>"০১৫৬"</f>
        <v>০১৫৬</v>
      </c>
      <c r="H3069" s="75" t="s">
        <v>322</v>
      </c>
      <c r="I3069" s="75" t="s">
        <v>322</v>
      </c>
      <c r="J3069" s="5"/>
    </row>
    <row r="3070" spans="1:10" x14ac:dyDescent="0.25">
      <c r="A3070" s="39">
        <v>3069</v>
      </c>
      <c r="B3070" s="3" t="s">
        <v>4049</v>
      </c>
      <c r="C3070" s="75" t="s">
        <v>4046</v>
      </c>
      <c r="D3070" s="75" t="s">
        <v>1474</v>
      </c>
      <c r="E3070" s="75" t="str">
        <f>"০"</f>
        <v>০</v>
      </c>
      <c r="F3070" s="22" t="str">
        <f>"8119457812634"</f>
        <v>8119457812634</v>
      </c>
      <c r="G3070" s="75" t="str">
        <f>"০১৫৫"</f>
        <v>০১৫৫</v>
      </c>
      <c r="H3070" s="75" t="s">
        <v>371</v>
      </c>
      <c r="I3070" s="75" t="s">
        <v>371</v>
      </c>
      <c r="J3070" s="5"/>
    </row>
    <row r="3071" spans="1:10" x14ac:dyDescent="0.25">
      <c r="A3071" s="39">
        <v>3070</v>
      </c>
      <c r="B3071" s="3" t="s">
        <v>4050</v>
      </c>
      <c r="C3071" s="75" t="s">
        <v>4051</v>
      </c>
      <c r="D3071" s="75" t="s">
        <v>1474</v>
      </c>
      <c r="E3071" s="75" t="str">
        <f>"০১৭২২৯৫৯৩৩৬"</f>
        <v>০১৭২২৯৫৯৩৩৬</v>
      </c>
      <c r="F3071" s="22" t="str">
        <f>"8119457812599"</f>
        <v>8119457812599</v>
      </c>
      <c r="G3071" s="75" t="str">
        <f>"০১৫৪"</f>
        <v>০১৫৪</v>
      </c>
      <c r="H3071" s="75" t="s">
        <v>319</v>
      </c>
      <c r="I3071" s="75" t="s">
        <v>319</v>
      </c>
      <c r="J3071" s="5"/>
    </row>
    <row r="3072" spans="1:10" x14ac:dyDescent="0.25">
      <c r="A3072" s="39">
        <v>3071</v>
      </c>
      <c r="B3072" s="3" t="s">
        <v>4052</v>
      </c>
      <c r="C3072" s="75" t="s">
        <v>4053</v>
      </c>
      <c r="D3072" s="75" t="s">
        <v>1474</v>
      </c>
      <c r="E3072" s="75" t="str">
        <f>"০"</f>
        <v>০</v>
      </c>
      <c r="F3072" s="22" t="str">
        <f>"8119457812787"</f>
        <v>8119457812787</v>
      </c>
      <c r="G3072" s="75" t="str">
        <f>"০১৫৩"</f>
        <v>০১৫৩</v>
      </c>
      <c r="H3072" s="75" t="s">
        <v>322</v>
      </c>
      <c r="I3072" s="75" t="s">
        <v>322</v>
      </c>
      <c r="J3072" s="5"/>
    </row>
    <row r="3073" spans="1:10" x14ac:dyDescent="0.25">
      <c r="A3073" s="39">
        <v>3072</v>
      </c>
      <c r="B3073" s="3" t="s">
        <v>2432</v>
      </c>
      <c r="C3073" s="75" t="s">
        <v>4054</v>
      </c>
      <c r="D3073" s="75" t="s">
        <v>1474</v>
      </c>
      <c r="E3073" s="75" t="str">
        <f>"০১৭২৮৭১৮৮২১"</f>
        <v>০১৭২৮৭১৮৮২১</v>
      </c>
      <c r="F3073" s="22" t="str">
        <f>"8119457813398"</f>
        <v>8119457813398</v>
      </c>
      <c r="G3073" s="75" t="str">
        <f>"০১৫২"</f>
        <v>০১৫২</v>
      </c>
      <c r="H3073" s="75" t="s">
        <v>319</v>
      </c>
      <c r="I3073" s="75" t="s">
        <v>319</v>
      </c>
      <c r="J3073" s="5"/>
    </row>
    <row r="3074" spans="1:10" x14ac:dyDescent="0.25">
      <c r="A3074" s="39">
        <v>3073</v>
      </c>
      <c r="B3074" s="3" t="s">
        <v>4055</v>
      </c>
      <c r="C3074" s="75" t="s">
        <v>4054</v>
      </c>
      <c r="D3074" s="75" t="s">
        <v>1474</v>
      </c>
      <c r="E3074" s="75" t="str">
        <f>"০১৭২৮৭১৮৮২১"</f>
        <v>০১৭২৮৭১৮৮২১</v>
      </c>
      <c r="F3074" s="22" t="str">
        <f>"8119457813396"</f>
        <v>8119457813396</v>
      </c>
      <c r="G3074" s="75" t="str">
        <f>"০১৫১"</f>
        <v>০১৫১</v>
      </c>
      <c r="H3074" s="75" t="s">
        <v>319</v>
      </c>
      <c r="I3074" s="75" t="s">
        <v>319</v>
      </c>
      <c r="J3074" s="5"/>
    </row>
    <row r="3075" spans="1:10" x14ac:dyDescent="0.25">
      <c r="A3075" s="39">
        <v>3074</v>
      </c>
      <c r="B3075" s="3" t="s">
        <v>4056</v>
      </c>
      <c r="C3075" s="75" t="s">
        <v>4057</v>
      </c>
      <c r="D3075" s="75" t="s">
        <v>1474</v>
      </c>
      <c r="E3075" s="75" t="str">
        <f>"০১৭৩৬৭৫৪৪০৭"</f>
        <v>০১৭৩৬৭৫৪৪০৭</v>
      </c>
      <c r="F3075" s="22" t="str">
        <f>"8119457813731"</f>
        <v>8119457813731</v>
      </c>
      <c r="G3075" s="75" t="str">
        <f>"০১৫০"</f>
        <v>০১৫০</v>
      </c>
      <c r="H3075" s="75" t="s">
        <v>322</v>
      </c>
      <c r="I3075" s="75" t="s">
        <v>322</v>
      </c>
      <c r="J3075" s="5"/>
    </row>
    <row r="3076" spans="1:10" x14ac:dyDescent="0.25">
      <c r="A3076" s="39">
        <v>3075</v>
      </c>
      <c r="B3076" s="3" t="s">
        <v>4058</v>
      </c>
      <c r="C3076" s="75" t="s">
        <v>4059</v>
      </c>
      <c r="D3076" s="75" t="s">
        <v>1474</v>
      </c>
      <c r="E3076" s="75" t="str">
        <f>"০"</f>
        <v>০</v>
      </c>
      <c r="F3076" s="22" t="str">
        <f>"8119457812728"</f>
        <v>8119457812728</v>
      </c>
      <c r="G3076" s="75" t="str">
        <f>"০১৪৯"</f>
        <v>০১৪৯</v>
      </c>
      <c r="H3076" s="75" t="s">
        <v>371</v>
      </c>
      <c r="I3076" s="75" t="s">
        <v>371</v>
      </c>
      <c r="J3076" s="5"/>
    </row>
    <row r="3077" spans="1:10" x14ac:dyDescent="0.25">
      <c r="A3077" s="39">
        <v>3076</v>
      </c>
      <c r="B3077" s="3" t="s">
        <v>4060</v>
      </c>
      <c r="C3077" s="75" t="s">
        <v>3842</v>
      </c>
      <c r="D3077" s="75" t="s">
        <v>1474</v>
      </c>
      <c r="E3077" s="75" t="str">
        <f>"০"</f>
        <v>০</v>
      </c>
      <c r="F3077" s="22" t="str">
        <f>"8119457812736"</f>
        <v>8119457812736</v>
      </c>
      <c r="G3077" s="75" t="str">
        <f>"০১৪৮"</f>
        <v>০১৪৮</v>
      </c>
      <c r="H3077" s="75" t="s">
        <v>371</v>
      </c>
      <c r="I3077" s="75" t="s">
        <v>371</v>
      </c>
      <c r="J3077" s="5"/>
    </row>
    <row r="3078" spans="1:10" x14ac:dyDescent="0.25">
      <c r="A3078" s="39">
        <v>3077</v>
      </c>
      <c r="B3078" s="3" t="s">
        <v>4061</v>
      </c>
      <c r="C3078" s="75" t="s">
        <v>4062</v>
      </c>
      <c r="D3078" s="75" t="s">
        <v>1474</v>
      </c>
      <c r="E3078" s="75" t="str">
        <f>"০"</f>
        <v>০</v>
      </c>
      <c r="F3078" s="22" t="str">
        <f>"8119457813712"</f>
        <v>8119457813712</v>
      </c>
      <c r="G3078" s="75" t="str">
        <f>"০১৪৭"</f>
        <v>০১৪৭</v>
      </c>
      <c r="H3078" s="75" t="s">
        <v>315</v>
      </c>
      <c r="I3078" s="75" t="s">
        <v>315</v>
      </c>
      <c r="J3078" s="5"/>
    </row>
    <row r="3079" spans="1:10" x14ac:dyDescent="0.25">
      <c r="A3079" s="39">
        <v>3078</v>
      </c>
      <c r="B3079" s="3" t="s">
        <v>4063</v>
      </c>
      <c r="C3079" s="75" t="s">
        <v>4064</v>
      </c>
      <c r="D3079" s="75" t="s">
        <v>1474</v>
      </c>
      <c r="E3079" s="75" t="str">
        <f>"০১৭৩৯০২৯৩২৬"</f>
        <v>০১৭৩৯০২৯৩২৬</v>
      </c>
      <c r="F3079" s="22" t="str">
        <f>"8119457812617"</f>
        <v>8119457812617</v>
      </c>
      <c r="G3079" s="75" t="str">
        <f>"০১৪৬"</f>
        <v>০১৪৬</v>
      </c>
      <c r="H3079" s="75" t="s">
        <v>319</v>
      </c>
      <c r="I3079" s="75" t="s">
        <v>319</v>
      </c>
      <c r="J3079" s="5"/>
    </row>
    <row r="3080" spans="1:10" x14ac:dyDescent="0.25">
      <c r="A3080" s="39">
        <v>3079</v>
      </c>
      <c r="B3080" s="3" t="s">
        <v>4065</v>
      </c>
      <c r="C3080" s="75" t="s">
        <v>4046</v>
      </c>
      <c r="D3080" s="75" t="s">
        <v>1474</v>
      </c>
      <c r="E3080" s="75" t="str">
        <f t="shared" ref="E3080:E3085" si="57">"০"</f>
        <v>০</v>
      </c>
      <c r="F3080" s="22" t="str">
        <f>"8119457812666"</f>
        <v>8119457812666</v>
      </c>
      <c r="G3080" s="75" t="str">
        <f>"০১৪৫"</f>
        <v>০১৪৫</v>
      </c>
      <c r="H3080" s="75" t="s">
        <v>319</v>
      </c>
      <c r="I3080" s="75" t="s">
        <v>319</v>
      </c>
      <c r="J3080" s="5"/>
    </row>
    <row r="3081" spans="1:10" x14ac:dyDescent="0.25">
      <c r="A3081" s="39">
        <v>3080</v>
      </c>
      <c r="B3081" s="3" t="s">
        <v>4066</v>
      </c>
      <c r="C3081" s="75" t="s">
        <v>4067</v>
      </c>
      <c r="D3081" s="75" t="s">
        <v>1474</v>
      </c>
      <c r="E3081" s="75" t="str">
        <f t="shared" si="57"/>
        <v>০</v>
      </c>
      <c r="F3081" s="22" t="str">
        <f>"8119457812513"</f>
        <v>8119457812513</v>
      </c>
      <c r="G3081" s="75" t="str">
        <f>"০১৪৪"</f>
        <v>০১৪৪</v>
      </c>
      <c r="H3081" s="75" t="s">
        <v>371</v>
      </c>
      <c r="I3081" s="75" t="s">
        <v>371</v>
      </c>
      <c r="J3081" s="5"/>
    </row>
    <row r="3082" spans="1:10" x14ac:dyDescent="0.25">
      <c r="A3082" s="39">
        <v>3081</v>
      </c>
      <c r="B3082" s="3" t="s">
        <v>4068</v>
      </c>
      <c r="C3082" s="75" t="s">
        <v>4065</v>
      </c>
      <c r="D3082" s="75" t="s">
        <v>1474</v>
      </c>
      <c r="E3082" s="75" t="str">
        <f t="shared" si="57"/>
        <v>০</v>
      </c>
      <c r="F3082" s="22" t="str">
        <f>"8119457812670"</f>
        <v>8119457812670</v>
      </c>
      <c r="G3082" s="75" t="str">
        <f>"০১৪৩"</f>
        <v>০১৪৩</v>
      </c>
      <c r="H3082" s="75" t="s">
        <v>329</v>
      </c>
      <c r="I3082" s="75" t="s">
        <v>329</v>
      </c>
      <c r="J3082" s="5"/>
    </row>
    <row r="3083" spans="1:10" x14ac:dyDescent="0.25">
      <c r="A3083" s="39">
        <v>3082</v>
      </c>
      <c r="B3083" s="3" t="s">
        <v>4069</v>
      </c>
      <c r="C3083" s="75" t="s">
        <v>1476</v>
      </c>
      <c r="D3083" s="75" t="s">
        <v>1474</v>
      </c>
      <c r="E3083" s="75" t="str">
        <f t="shared" si="57"/>
        <v>০</v>
      </c>
      <c r="F3083" s="22" t="str">
        <f>"8119457812668"</f>
        <v>8119457812668</v>
      </c>
      <c r="G3083" s="75" t="str">
        <f>"০১৪২"</f>
        <v>০১৪২</v>
      </c>
      <c r="H3083" s="75" t="s">
        <v>322</v>
      </c>
      <c r="I3083" s="75" t="s">
        <v>322</v>
      </c>
      <c r="J3083" s="5"/>
    </row>
    <row r="3084" spans="1:10" x14ac:dyDescent="0.25">
      <c r="A3084" s="39">
        <v>3083</v>
      </c>
      <c r="B3084" s="3" t="s">
        <v>4070</v>
      </c>
      <c r="C3084" s="75" t="s">
        <v>4071</v>
      </c>
      <c r="D3084" s="75" t="s">
        <v>1474</v>
      </c>
      <c r="E3084" s="75" t="str">
        <f t="shared" si="57"/>
        <v>০</v>
      </c>
      <c r="F3084" s="22" t="str">
        <f>"8119457812685"</f>
        <v>8119457812685</v>
      </c>
      <c r="G3084" s="75" t="str">
        <f>"০১৪১"</f>
        <v>০১৪১</v>
      </c>
      <c r="H3084" s="75" t="s">
        <v>319</v>
      </c>
      <c r="I3084" s="75" t="s">
        <v>319</v>
      </c>
      <c r="J3084" s="5"/>
    </row>
    <row r="3085" spans="1:10" x14ac:dyDescent="0.25">
      <c r="A3085" s="39">
        <v>3084</v>
      </c>
      <c r="B3085" s="3" t="s">
        <v>4072</v>
      </c>
      <c r="C3085" s="75" t="s">
        <v>4073</v>
      </c>
      <c r="D3085" s="75" t="s">
        <v>1474</v>
      </c>
      <c r="E3085" s="75" t="str">
        <f t="shared" si="57"/>
        <v>০</v>
      </c>
      <c r="F3085" s="22" t="str">
        <f>"8119457813711"</f>
        <v>8119457813711</v>
      </c>
      <c r="G3085" s="75" t="str">
        <f>"০১৪০"</f>
        <v>০১৪০</v>
      </c>
      <c r="H3085" s="75" t="s">
        <v>330</v>
      </c>
      <c r="I3085" s="75" t="s">
        <v>330</v>
      </c>
      <c r="J3085" s="5"/>
    </row>
    <row r="3086" spans="1:10" x14ac:dyDescent="0.25">
      <c r="A3086" s="39">
        <v>3085</v>
      </c>
      <c r="B3086" s="3" t="s">
        <v>4074</v>
      </c>
      <c r="C3086" s="75" t="s">
        <v>4075</v>
      </c>
      <c r="D3086" s="75" t="s">
        <v>1474</v>
      </c>
      <c r="E3086" s="75" t="str">
        <f>"০১৭২৪২৬৮১৯৯"</f>
        <v>০১৭২৪২৬৮১৯৯</v>
      </c>
      <c r="F3086" s="22" t="str">
        <f>"8119457812722"</f>
        <v>8119457812722</v>
      </c>
      <c r="G3086" s="75" t="str">
        <f>"০১৩৯"</f>
        <v>০১৩৯</v>
      </c>
      <c r="H3086" s="75" t="s">
        <v>329</v>
      </c>
      <c r="I3086" s="75" t="s">
        <v>329</v>
      </c>
      <c r="J3086" s="5"/>
    </row>
    <row r="3087" spans="1:10" x14ac:dyDescent="0.25">
      <c r="A3087" s="39">
        <v>3086</v>
      </c>
      <c r="B3087" s="3" t="s">
        <v>4076</v>
      </c>
      <c r="C3087" s="75" t="s">
        <v>4077</v>
      </c>
      <c r="D3087" s="75" t="s">
        <v>1474</v>
      </c>
      <c r="E3087" s="75" t="str">
        <f>"০১৭৪৬৮৫২৬৩৩"</f>
        <v>০১৭৪৬৮৫২৬৩৩</v>
      </c>
      <c r="F3087" s="22" t="str">
        <f>"8119457812690"</f>
        <v>8119457812690</v>
      </c>
      <c r="G3087" s="75" t="str">
        <f>"০১৩৮"</f>
        <v>০১৩৮</v>
      </c>
      <c r="H3087" s="75" t="s">
        <v>322</v>
      </c>
      <c r="I3087" s="75" t="s">
        <v>322</v>
      </c>
      <c r="J3087" s="5"/>
    </row>
    <row r="3088" spans="1:10" x14ac:dyDescent="0.25">
      <c r="A3088" s="39">
        <v>3087</v>
      </c>
      <c r="B3088" s="3" t="s">
        <v>4078</v>
      </c>
      <c r="C3088" s="75" t="s">
        <v>4079</v>
      </c>
      <c r="D3088" s="75" t="s">
        <v>1474</v>
      </c>
      <c r="E3088" s="75" t="str">
        <f>"০১৭৪৪৪২৫০৭৪"</f>
        <v>০১৭৪৪৪২৫০৭৪</v>
      </c>
      <c r="F3088" s="22" t="str">
        <f>"8119457814164"</f>
        <v>8119457814164</v>
      </c>
      <c r="G3088" s="75" t="str">
        <f>"০১৩৭"</f>
        <v>০১৩৭</v>
      </c>
      <c r="H3088" s="75" t="s">
        <v>319</v>
      </c>
      <c r="I3088" s="75" t="s">
        <v>319</v>
      </c>
      <c r="J3088" s="5"/>
    </row>
    <row r="3089" spans="1:10" x14ac:dyDescent="0.25">
      <c r="A3089" s="39">
        <v>3088</v>
      </c>
      <c r="B3089" s="3" t="s">
        <v>4080</v>
      </c>
      <c r="C3089" s="75" t="s">
        <v>4081</v>
      </c>
      <c r="D3089" s="75" t="s">
        <v>1474</v>
      </c>
      <c r="E3089" s="75" t="str">
        <f>"০"</f>
        <v>০</v>
      </c>
      <c r="F3089" s="22" t="str">
        <f>"8119457813971"</f>
        <v>8119457813971</v>
      </c>
      <c r="G3089" s="75" t="str">
        <f>"০১৩৬"</f>
        <v>০১৩৬</v>
      </c>
      <c r="H3089" s="75" t="s">
        <v>456</v>
      </c>
      <c r="I3089" s="75" t="s">
        <v>456</v>
      </c>
      <c r="J3089" s="5"/>
    </row>
    <row r="3090" spans="1:10" x14ac:dyDescent="0.25">
      <c r="A3090" s="39">
        <v>3089</v>
      </c>
      <c r="B3090" s="3" t="s">
        <v>4082</v>
      </c>
      <c r="C3090" s="75" t="s">
        <v>4083</v>
      </c>
      <c r="D3090" s="75" t="s">
        <v>1474</v>
      </c>
      <c r="E3090" s="75" t="str">
        <f>"০"</f>
        <v>০</v>
      </c>
      <c r="F3090" s="22" t="str">
        <f>"8119457813590"</f>
        <v>8119457813590</v>
      </c>
      <c r="G3090" s="75" t="str">
        <f>"০১৩৫"</f>
        <v>০১৩৫</v>
      </c>
      <c r="H3090" s="75" t="s">
        <v>1394</v>
      </c>
      <c r="I3090" s="75" t="s">
        <v>1394</v>
      </c>
      <c r="J3090" s="5"/>
    </row>
    <row r="3091" spans="1:10" x14ac:dyDescent="0.25">
      <c r="A3091" s="39">
        <v>3090</v>
      </c>
      <c r="B3091" s="3" t="s">
        <v>4084</v>
      </c>
      <c r="C3091" s="75" t="s">
        <v>4085</v>
      </c>
      <c r="D3091" s="75" t="s">
        <v>1474</v>
      </c>
      <c r="E3091" s="75" t="str">
        <f>"০১৭৩৪৮০৭১৫৯"</f>
        <v>০১৭৩৪৮০৭১৫৯</v>
      </c>
      <c r="F3091" s="22" t="str">
        <f>"8119457812951"</f>
        <v>8119457812951</v>
      </c>
      <c r="G3091" s="75" t="str">
        <f>"০১৩৪"</f>
        <v>০১৩৪</v>
      </c>
      <c r="H3091" s="75" t="s">
        <v>319</v>
      </c>
      <c r="I3091" s="75" t="s">
        <v>319</v>
      </c>
      <c r="J3091" s="5"/>
    </row>
    <row r="3092" spans="1:10" x14ac:dyDescent="0.25">
      <c r="A3092" s="39">
        <v>3091</v>
      </c>
      <c r="B3092" s="3" t="s">
        <v>4086</v>
      </c>
      <c r="C3092" s="75" t="s">
        <v>4087</v>
      </c>
      <c r="D3092" s="75" t="s">
        <v>1474</v>
      </c>
      <c r="E3092" s="75" t="str">
        <f>"০১৭৬৩০৭০৫৩৭"</f>
        <v>০১৭৬৩০৭০৫৩৭</v>
      </c>
      <c r="F3092" s="22" t="str">
        <f>"8119457813605"</f>
        <v>8119457813605</v>
      </c>
      <c r="G3092" s="75" t="str">
        <f>"০১৩৩"</f>
        <v>০১৩৩</v>
      </c>
      <c r="H3092" s="75" t="s">
        <v>456</v>
      </c>
      <c r="I3092" s="75" t="s">
        <v>456</v>
      </c>
      <c r="J3092" s="5"/>
    </row>
    <row r="3093" spans="1:10" x14ac:dyDescent="0.25">
      <c r="A3093" s="39">
        <v>3092</v>
      </c>
      <c r="B3093" s="3" t="s">
        <v>3468</v>
      </c>
      <c r="C3093" s="75" t="s">
        <v>4083</v>
      </c>
      <c r="D3093" s="75" t="s">
        <v>1474</v>
      </c>
      <c r="E3093" s="75" t="str">
        <f>"০১৭৬৩০৭০৫৩৭"</f>
        <v>০১৭৬৩০৭০৫৩৭</v>
      </c>
      <c r="F3093" s="22" t="str">
        <f>"8119457813603"</f>
        <v>8119457813603</v>
      </c>
      <c r="G3093" s="75" t="str">
        <f>"০১৩২"</f>
        <v>০১৩২</v>
      </c>
      <c r="H3093" s="75" t="s">
        <v>330</v>
      </c>
      <c r="I3093" s="75" t="s">
        <v>330</v>
      </c>
      <c r="J3093" s="5"/>
    </row>
    <row r="3094" spans="1:10" x14ac:dyDescent="0.25">
      <c r="A3094" s="39">
        <v>3093</v>
      </c>
      <c r="B3094" s="3" t="s">
        <v>4088</v>
      </c>
      <c r="C3094" s="75" t="s">
        <v>4087</v>
      </c>
      <c r="D3094" s="75" t="s">
        <v>1474</v>
      </c>
      <c r="E3094" s="75" t="str">
        <f>"০১৭২২৬২০৯৩৭"</f>
        <v>০১৭২২৬২০৯৩৭</v>
      </c>
      <c r="F3094" s="22" t="str">
        <f>"8119457813604"</f>
        <v>8119457813604</v>
      </c>
      <c r="G3094" s="75" t="str">
        <f>"০১৩১"</f>
        <v>০১৩১</v>
      </c>
      <c r="H3094" s="75" t="s">
        <v>319</v>
      </c>
      <c r="I3094" s="75" t="s">
        <v>319</v>
      </c>
      <c r="J3094" s="5"/>
    </row>
    <row r="3095" spans="1:10" x14ac:dyDescent="0.25">
      <c r="A3095" s="39">
        <v>3094</v>
      </c>
      <c r="B3095" s="3" t="s">
        <v>4089</v>
      </c>
      <c r="C3095" s="75" t="s">
        <v>4047</v>
      </c>
      <c r="D3095" s="75" t="s">
        <v>1474</v>
      </c>
      <c r="E3095" s="75" t="str">
        <f>"০"</f>
        <v>০</v>
      </c>
      <c r="F3095" s="22" t="str">
        <f>"8119457813381"</f>
        <v>8119457813381</v>
      </c>
      <c r="G3095" s="75" t="str">
        <f>"০১৩০"</f>
        <v>০১৩০</v>
      </c>
      <c r="H3095" s="75" t="s">
        <v>322</v>
      </c>
      <c r="I3095" s="75" t="s">
        <v>322</v>
      </c>
      <c r="J3095" s="5"/>
    </row>
    <row r="3096" spans="1:10" x14ac:dyDescent="0.25">
      <c r="A3096" s="39">
        <v>3095</v>
      </c>
      <c r="B3096" s="3" t="s">
        <v>4090</v>
      </c>
      <c r="C3096" s="75" t="s">
        <v>4091</v>
      </c>
      <c r="D3096" s="75" t="s">
        <v>1474</v>
      </c>
      <c r="E3096" s="75" t="str">
        <f>"০"</f>
        <v>০</v>
      </c>
      <c r="F3096" s="22" t="str">
        <f>"8119457812944"</f>
        <v>8119457812944</v>
      </c>
      <c r="G3096" s="75" t="str">
        <f>"০১২৯"</f>
        <v>০১২৯</v>
      </c>
      <c r="H3096" s="75" t="s">
        <v>364</v>
      </c>
      <c r="I3096" s="75" t="s">
        <v>364</v>
      </c>
      <c r="J3096" s="5"/>
    </row>
    <row r="3097" spans="1:10" x14ac:dyDescent="0.25">
      <c r="A3097" s="39">
        <v>3096</v>
      </c>
      <c r="B3097" s="3" t="s">
        <v>2072</v>
      </c>
      <c r="C3097" s="75" t="s">
        <v>3752</v>
      </c>
      <c r="D3097" s="75" t="s">
        <v>1474</v>
      </c>
      <c r="E3097" s="75" t="str">
        <f>"০১৭৪০৯০৪৩৬"</f>
        <v>০১৭৪০৯০৪৩৬</v>
      </c>
      <c r="F3097" s="22" t="str">
        <f>"8119457813071"</f>
        <v>8119457813071</v>
      </c>
      <c r="G3097" s="75" t="str">
        <f>"০১২৮"</f>
        <v>০১২৮</v>
      </c>
      <c r="H3097" s="75" t="s">
        <v>319</v>
      </c>
      <c r="I3097" s="75" t="s">
        <v>319</v>
      </c>
      <c r="J3097" s="5"/>
    </row>
    <row r="3098" spans="1:10" x14ac:dyDescent="0.25">
      <c r="A3098" s="39">
        <v>3097</v>
      </c>
      <c r="B3098" s="3" t="s">
        <v>4092</v>
      </c>
      <c r="C3098" s="75" t="s">
        <v>4093</v>
      </c>
      <c r="D3098" s="75" t="s">
        <v>1474</v>
      </c>
      <c r="E3098" s="75" t="str">
        <f>"০১৭২৪৩৪০০৮৭"</f>
        <v>০১৭২৪৩৪০০৮৭</v>
      </c>
      <c r="F3098" s="22" t="str">
        <f>"8119457813459"</f>
        <v>8119457813459</v>
      </c>
      <c r="G3098" s="75" t="str">
        <f>"০১২৭"</f>
        <v>০১২৭</v>
      </c>
      <c r="H3098" s="75" t="s">
        <v>329</v>
      </c>
      <c r="I3098" s="75" t="s">
        <v>329</v>
      </c>
      <c r="J3098" s="5"/>
    </row>
    <row r="3099" spans="1:10" x14ac:dyDescent="0.25">
      <c r="A3099" s="39">
        <v>3098</v>
      </c>
      <c r="B3099" s="3" t="s">
        <v>4094</v>
      </c>
      <c r="C3099" s="75" t="s">
        <v>4095</v>
      </c>
      <c r="D3099" s="75" t="s">
        <v>1474</v>
      </c>
      <c r="E3099" s="75" t="str">
        <f>"০১৭২৪৩৪০০৮৭"</f>
        <v>০১৭২৪৩৪০০৮৭</v>
      </c>
      <c r="F3099" s="22" t="str">
        <f>"8119457812814"</f>
        <v>8119457812814</v>
      </c>
      <c r="G3099" s="75" t="str">
        <f>"০১২৬"</f>
        <v>০১২৬</v>
      </c>
      <c r="H3099" s="75" t="s">
        <v>330</v>
      </c>
      <c r="I3099" s="75" t="s">
        <v>330</v>
      </c>
      <c r="J3099" s="5"/>
    </row>
    <row r="3100" spans="1:10" x14ac:dyDescent="0.25">
      <c r="A3100" s="39">
        <v>3099</v>
      </c>
      <c r="B3100" s="3" t="s">
        <v>4096</v>
      </c>
      <c r="C3100" s="75" t="s">
        <v>1553</v>
      </c>
      <c r="D3100" s="75" t="s">
        <v>1474</v>
      </c>
      <c r="E3100" s="75" t="str">
        <f>"০১৭৩৪৮২৯০২০"</f>
        <v>০১৭৩৪৮২৯০২০</v>
      </c>
      <c r="F3100" s="22" t="str">
        <f>"8119457813064"</f>
        <v>8119457813064</v>
      </c>
      <c r="G3100" s="75" t="str">
        <f>"০১২৫"</f>
        <v>০১২৫</v>
      </c>
      <c r="H3100" s="75" t="s">
        <v>319</v>
      </c>
      <c r="I3100" s="75" t="s">
        <v>319</v>
      </c>
      <c r="J3100" s="5"/>
    </row>
    <row r="3101" spans="1:10" x14ac:dyDescent="0.25">
      <c r="A3101" s="39">
        <v>3100</v>
      </c>
      <c r="B3101" s="3" t="s">
        <v>4097</v>
      </c>
      <c r="C3101" s="75" t="s">
        <v>2623</v>
      </c>
      <c r="D3101" s="75" t="s">
        <v>1474</v>
      </c>
      <c r="E3101" s="75" t="str">
        <f>"০১৭১০০০১৭৪৪"</f>
        <v>০১৭১০০০১৭৪৪</v>
      </c>
      <c r="F3101" s="22" t="str">
        <f>"8119457814978"</f>
        <v>8119457814978</v>
      </c>
      <c r="G3101" s="75" t="str">
        <f>"০১২৪"</f>
        <v>০১২৪</v>
      </c>
      <c r="H3101" s="75" t="s">
        <v>319</v>
      </c>
      <c r="I3101" s="75" t="s">
        <v>319</v>
      </c>
      <c r="J3101" s="5"/>
    </row>
    <row r="3102" spans="1:10" x14ac:dyDescent="0.25">
      <c r="A3102" s="39">
        <v>3101</v>
      </c>
      <c r="B3102" s="3" t="s">
        <v>4098</v>
      </c>
      <c r="C3102" s="75" t="s">
        <v>1553</v>
      </c>
      <c r="D3102" s="75" t="s">
        <v>1474</v>
      </c>
      <c r="E3102" s="75" t="str">
        <f>"০১৭২০৬১৪৭৫২"</f>
        <v>০১৭২০৬১৪৭৫২</v>
      </c>
      <c r="F3102" s="22" t="str">
        <f>"8119457813618"</f>
        <v>8119457813618</v>
      </c>
      <c r="G3102" s="75" t="str">
        <f>"০১২৩"</f>
        <v>০১২৩</v>
      </c>
      <c r="H3102" s="75" t="s">
        <v>330</v>
      </c>
      <c r="I3102" s="75" t="s">
        <v>330</v>
      </c>
      <c r="J3102" s="5"/>
    </row>
    <row r="3103" spans="1:10" x14ac:dyDescent="0.25">
      <c r="A3103" s="39">
        <v>3102</v>
      </c>
      <c r="B3103" s="3" t="s">
        <v>4099</v>
      </c>
      <c r="C3103" s="75" t="s">
        <v>4100</v>
      </c>
      <c r="D3103" s="75" t="s">
        <v>1474</v>
      </c>
      <c r="E3103" s="75" t="str">
        <f>"০১৭৬৪৮২৮৭২৪"</f>
        <v>০১৭৬৪৮২৮৭২৪</v>
      </c>
      <c r="F3103" s="22" t="str">
        <f>"8119457813066"</f>
        <v>8119457813066</v>
      </c>
      <c r="G3103" s="75" t="str">
        <f>"০১২২"</f>
        <v>০১২২</v>
      </c>
      <c r="H3103" s="75" t="s">
        <v>319</v>
      </c>
      <c r="I3103" s="75" t="s">
        <v>319</v>
      </c>
      <c r="J3103" s="5"/>
    </row>
    <row r="3104" spans="1:10" x14ac:dyDescent="0.25">
      <c r="A3104" s="39">
        <v>3103</v>
      </c>
      <c r="B3104" s="3" t="s">
        <v>3354</v>
      </c>
      <c r="C3104" s="75" t="s">
        <v>4087</v>
      </c>
      <c r="D3104" s="75" t="s">
        <v>1474</v>
      </c>
      <c r="E3104" s="75" t="str">
        <f>"০১৭২২৬২০৯৩৭"</f>
        <v>০১৭২২৬২০৯৩৭</v>
      </c>
      <c r="F3104" s="22" t="str">
        <f>"8119457813600"</f>
        <v>8119457813600</v>
      </c>
      <c r="G3104" s="75" t="str">
        <f>"০১২১"</f>
        <v>০১২১</v>
      </c>
      <c r="H3104" s="75" t="s">
        <v>329</v>
      </c>
      <c r="I3104" s="75" t="s">
        <v>329</v>
      </c>
      <c r="J3104" s="5"/>
    </row>
    <row r="3105" spans="1:10" x14ac:dyDescent="0.25">
      <c r="A3105" s="39">
        <v>3104</v>
      </c>
      <c r="B3105" s="3" t="s">
        <v>4101</v>
      </c>
      <c r="C3105" s="75" t="s">
        <v>4102</v>
      </c>
      <c r="D3105" s="75" t="s">
        <v>1474</v>
      </c>
      <c r="E3105" s="75" t="str">
        <f>"০১৭"</f>
        <v>০১৭</v>
      </c>
      <c r="F3105" s="22" t="str">
        <f>"8119457812991"</f>
        <v>8119457812991</v>
      </c>
      <c r="G3105" s="75" t="str">
        <f>"০১২০"</f>
        <v>০১২০</v>
      </c>
      <c r="H3105" s="75" t="s">
        <v>315</v>
      </c>
      <c r="I3105" s="75" t="s">
        <v>315</v>
      </c>
      <c r="J3105" s="5"/>
    </row>
    <row r="3106" spans="1:10" x14ac:dyDescent="0.25">
      <c r="A3106" s="39">
        <v>3105</v>
      </c>
      <c r="B3106" s="3" t="s">
        <v>1752</v>
      </c>
      <c r="C3106" s="75" t="s">
        <v>4103</v>
      </c>
      <c r="D3106" s="75" t="s">
        <v>1474</v>
      </c>
      <c r="E3106" s="75" t="str">
        <f>"০১৭৬১৭৫৬৪৭৯"</f>
        <v>০১৭৬১৭৫৬৪৭৯</v>
      </c>
      <c r="F3106" s="22" t="str">
        <f>"8119457813025"</f>
        <v>8119457813025</v>
      </c>
      <c r="G3106" s="75" t="str">
        <f>"০১১৯"</f>
        <v>০১১৯</v>
      </c>
      <c r="H3106" s="75" t="s">
        <v>322</v>
      </c>
      <c r="I3106" s="75" t="s">
        <v>322</v>
      </c>
      <c r="J3106" s="5"/>
    </row>
    <row r="3107" spans="1:10" x14ac:dyDescent="0.25">
      <c r="A3107" s="39">
        <v>3106</v>
      </c>
      <c r="B3107" s="3" t="s">
        <v>4104</v>
      </c>
      <c r="C3107" s="75" t="s">
        <v>4105</v>
      </c>
      <c r="D3107" s="75" t="s">
        <v>1474</v>
      </c>
      <c r="E3107" s="75" t="str">
        <f>"০১৭২৮৬৭৭৭৩৪"</f>
        <v>০১৭২৮৬৭৭৭৩৪</v>
      </c>
      <c r="F3107" s="22" t="str">
        <f>"8119457812858"</f>
        <v>8119457812858</v>
      </c>
      <c r="G3107" s="75" t="str">
        <f>"০১১৮"</f>
        <v>০১১৮</v>
      </c>
      <c r="H3107" s="75" t="s">
        <v>319</v>
      </c>
      <c r="I3107" s="75" t="s">
        <v>319</v>
      </c>
      <c r="J3107" s="5"/>
    </row>
    <row r="3108" spans="1:10" x14ac:dyDescent="0.25">
      <c r="A3108" s="39">
        <v>3107</v>
      </c>
      <c r="B3108" s="3" t="s">
        <v>4106</v>
      </c>
      <c r="C3108" s="75" t="s">
        <v>4105</v>
      </c>
      <c r="D3108" s="75" t="s">
        <v>1474</v>
      </c>
      <c r="E3108" s="75" t="str">
        <f>"০১৭২৮৬৭৭৭৩৪"</f>
        <v>০১৭২৮৬৭৭৭৩৪</v>
      </c>
      <c r="F3108" s="22" t="str">
        <f>"8119457812857"</f>
        <v>8119457812857</v>
      </c>
      <c r="G3108" s="75" t="str">
        <f>"০১১৭"</f>
        <v>০১১৭</v>
      </c>
      <c r="H3108" s="75" t="s">
        <v>319</v>
      </c>
      <c r="I3108" s="75" t="s">
        <v>319</v>
      </c>
      <c r="J3108" s="5"/>
    </row>
    <row r="3109" spans="1:10" x14ac:dyDescent="0.25">
      <c r="A3109" s="39">
        <v>3108</v>
      </c>
      <c r="B3109" s="3" t="s">
        <v>4083</v>
      </c>
      <c r="C3109" s="75" t="s">
        <v>4107</v>
      </c>
      <c r="D3109" s="75" t="s">
        <v>1474</v>
      </c>
      <c r="E3109" s="75" t="str">
        <f>"০১৭৮৬৭৩৯৫৭১"</f>
        <v>০১৭৮৬৭৩৯৫৭১</v>
      </c>
      <c r="F3109" s="22" t="str">
        <f>"8119457813594"</f>
        <v>8119457813594</v>
      </c>
      <c r="G3109" s="75" t="str">
        <f>"০১১৬"</f>
        <v>০১১৬</v>
      </c>
      <c r="H3109" s="75" t="s">
        <v>319</v>
      </c>
      <c r="I3109" s="75" t="s">
        <v>319</v>
      </c>
      <c r="J3109" s="5"/>
    </row>
    <row r="3110" spans="1:10" x14ac:dyDescent="0.25">
      <c r="A3110" s="39">
        <v>3109</v>
      </c>
      <c r="B3110" s="3" t="s">
        <v>4108</v>
      </c>
      <c r="C3110" s="75" t="s">
        <v>4109</v>
      </c>
      <c r="D3110" s="75" t="s">
        <v>1474</v>
      </c>
      <c r="E3110" s="75" t="str">
        <f>"০১৭৩২০৫৬৫৩৯"</f>
        <v>০১৭৩২০৫৬৫৩৯</v>
      </c>
      <c r="F3110" s="22" t="str">
        <f>"8119457812818"</f>
        <v>8119457812818</v>
      </c>
      <c r="G3110" s="75" t="str">
        <f>"০১১৫"</f>
        <v>০১১৫</v>
      </c>
      <c r="H3110" s="75" t="s">
        <v>456</v>
      </c>
      <c r="I3110" s="75" t="s">
        <v>456</v>
      </c>
      <c r="J3110" s="5"/>
    </row>
    <row r="3111" spans="1:10" x14ac:dyDescent="0.25">
      <c r="A3111" s="39">
        <v>3110</v>
      </c>
      <c r="B3111" s="3" t="s">
        <v>4110</v>
      </c>
      <c r="C3111" s="75" t="s">
        <v>3232</v>
      </c>
      <c r="D3111" s="75" t="s">
        <v>1474</v>
      </c>
      <c r="E3111" s="75" t="str">
        <f>"০১৮৩৪১০৩৬৪৫"</f>
        <v>০১৮৩৪১০৩৬৪৫</v>
      </c>
      <c r="F3111" s="22" t="str">
        <f>"8119457814924"</f>
        <v>8119457814924</v>
      </c>
      <c r="G3111" s="75" t="str">
        <f>"০১১৪"</f>
        <v>০১১৪</v>
      </c>
      <c r="H3111" s="75" t="s">
        <v>319</v>
      </c>
      <c r="I3111" s="75" t="s">
        <v>319</v>
      </c>
      <c r="J3111" s="5"/>
    </row>
    <row r="3112" spans="1:10" x14ac:dyDescent="0.25">
      <c r="A3112" s="39">
        <v>3111</v>
      </c>
      <c r="B3112" s="3" t="s">
        <v>1531</v>
      </c>
      <c r="C3112" s="75" t="s">
        <v>4083</v>
      </c>
      <c r="D3112" s="75" t="s">
        <v>1474</v>
      </c>
      <c r="E3112" s="75" t="str">
        <f>"০১৭৫১৪৭৩৮০৫"</f>
        <v>০১৭৫১৪৭৩৮০৫</v>
      </c>
      <c r="F3112" s="22" t="str">
        <f>"8119457813598"</f>
        <v>8119457813598</v>
      </c>
      <c r="G3112" s="75" t="str">
        <f>"০১১৩"</f>
        <v>০১১৩</v>
      </c>
      <c r="H3112" s="75" t="s">
        <v>319</v>
      </c>
      <c r="I3112" s="75" t="s">
        <v>319</v>
      </c>
      <c r="J3112" s="5"/>
    </row>
    <row r="3113" spans="1:10" x14ac:dyDescent="0.25">
      <c r="A3113" s="39">
        <v>3112</v>
      </c>
      <c r="B3113" s="3" t="s">
        <v>4111</v>
      </c>
      <c r="C3113" s="75" t="s">
        <v>4111</v>
      </c>
      <c r="D3113" s="75" t="s">
        <v>1474</v>
      </c>
      <c r="E3113" s="75" t="str">
        <f>"০"</f>
        <v>০</v>
      </c>
      <c r="F3113" s="22" t="str">
        <f>"8119457813658"</f>
        <v>8119457813658</v>
      </c>
      <c r="G3113" s="75" t="str">
        <f>"০১১২"</f>
        <v>০১১২</v>
      </c>
      <c r="H3113" s="75" t="s">
        <v>1394</v>
      </c>
      <c r="I3113" s="75" t="s">
        <v>1394</v>
      </c>
      <c r="J3113" s="5"/>
    </row>
    <row r="3114" spans="1:10" x14ac:dyDescent="0.25">
      <c r="A3114" s="39">
        <v>3113</v>
      </c>
      <c r="B3114" s="3" t="s">
        <v>1563</v>
      </c>
      <c r="C3114" s="75" t="s">
        <v>2802</v>
      </c>
      <c r="D3114" s="75" t="s">
        <v>1474</v>
      </c>
      <c r="E3114" s="75" t="str">
        <f>"০১৯৮৩৭৫৫৬০২"</f>
        <v>০১৯৮৩৭৫৫৬০২</v>
      </c>
      <c r="F3114" s="22" t="str">
        <f>"8119457814858"</f>
        <v>8119457814858</v>
      </c>
      <c r="G3114" s="75" t="str">
        <f>"০১১১"</f>
        <v>০১১১</v>
      </c>
      <c r="H3114" s="75" t="s">
        <v>319</v>
      </c>
      <c r="I3114" s="75" t="s">
        <v>319</v>
      </c>
      <c r="J3114" s="5"/>
    </row>
    <row r="3115" spans="1:10" x14ac:dyDescent="0.25">
      <c r="A3115" s="39">
        <v>3114</v>
      </c>
      <c r="B3115" s="3" t="s">
        <v>4112</v>
      </c>
      <c r="C3115" s="75" t="s">
        <v>4113</v>
      </c>
      <c r="D3115" s="75" t="s">
        <v>1474</v>
      </c>
      <c r="E3115" s="75" t="str">
        <f>"০১৭২৫০৮৫৯৭৩"</f>
        <v>০১৭২৫০৮৫৯৭৩</v>
      </c>
      <c r="F3115" s="22" t="str">
        <f>"8119457812992"</f>
        <v>8119457812992</v>
      </c>
      <c r="G3115" s="75" t="str">
        <f>"০১১০"</f>
        <v>০১১০</v>
      </c>
      <c r="H3115" s="75" t="s">
        <v>319</v>
      </c>
      <c r="I3115" s="75" t="s">
        <v>319</v>
      </c>
      <c r="J3115" s="5"/>
    </row>
    <row r="3116" spans="1:10" x14ac:dyDescent="0.25">
      <c r="A3116" s="39">
        <v>3115</v>
      </c>
      <c r="B3116" s="3" t="s">
        <v>4114</v>
      </c>
      <c r="C3116" s="75" t="s">
        <v>4115</v>
      </c>
      <c r="D3116" s="75" t="s">
        <v>1474</v>
      </c>
      <c r="E3116" s="75" t="str">
        <f>"০"</f>
        <v>০</v>
      </c>
      <c r="F3116" s="22" t="str">
        <f>"8119457812899"</f>
        <v>8119457812899</v>
      </c>
      <c r="G3116" s="75" t="str">
        <f>"০১০৯"</f>
        <v>০১০৯</v>
      </c>
      <c r="H3116" s="75" t="s">
        <v>456</v>
      </c>
      <c r="I3116" s="75" t="s">
        <v>456</v>
      </c>
      <c r="J3116" s="5"/>
    </row>
    <row r="3117" spans="1:10" x14ac:dyDescent="0.25">
      <c r="A3117" s="39">
        <v>3116</v>
      </c>
      <c r="B3117" s="3" t="s">
        <v>1601</v>
      </c>
      <c r="C3117" s="75" t="s">
        <v>4116</v>
      </c>
      <c r="D3117" s="75" t="s">
        <v>1474</v>
      </c>
      <c r="E3117" s="75" t="str">
        <f>"০১৭২৮৬৭৭৭৩৪"</f>
        <v>০১৭২৮৬৭৭৭৩৪</v>
      </c>
      <c r="F3117" s="22" t="str">
        <f>"8119457812862"</f>
        <v>8119457812862</v>
      </c>
      <c r="G3117" s="75" t="str">
        <f>"০১০৮"</f>
        <v>০১০৮</v>
      </c>
      <c r="H3117" s="75" t="s">
        <v>322</v>
      </c>
      <c r="I3117" s="75" t="s">
        <v>322</v>
      </c>
      <c r="J3117" s="5"/>
    </row>
    <row r="3118" spans="1:10" x14ac:dyDescent="0.25">
      <c r="A3118" s="39">
        <v>3117</v>
      </c>
      <c r="B3118" s="3" t="s">
        <v>4117</v>
      </c>
      <c r="C3118" s="75" t="s">
        <v>1477</v>
      </c>
      <c r="D3118" s="75" t="s">
        <v>1474</v>
      </c>
      <c r="E3118" s="75" t="str">
        <f>"০১৭৩৪২০৮২৪৮"</f>
        <v>০১৭৩৪২০৮২৪৮</v>
      </c>
      <c r="F3118" s="22" t="str">
        <f>"8119457812968"</f>
        <v>8119457812968</v>
      </c>
      <c r="G3118" s="75" t="str">
        <f>"০১০৭"</f>
        <v>০১০৭</v>
      </c>
      <c r="H3118" s="75" t="s">
        <v>1434</v>
      </c>
      <c r="I3118" s="75" t="s">
        <v>1434</v>
      </c>
      <c r="J3118" s="5"/>
    </row>
    <row r="3119" spans="1:10" x14ac:dyDescent="0.25">
      <c r="A3119" s="39">
        <v>3118</v>
      </c>
      <c r="B3119" s="3" t="s">
        <v>4118</v>
      </c>
      <c r="C3119" s="75" t="s">
        <v>4119</v>
      </c>
      <c r="D3119" s="75" t="s">
        <v>1474</v>
      </c>
      <c r="E3119" s="75" t="str">
        <f>"০"</f>
        <v>০</v>
      </c>
      <c r="F3119" s="22" t="str">
        <f>"8119457813896"</f>
        <v>8119457813896</v>
      </c>
      <c r="G3119" s="75" t="str">
        <f>"০১০৬"</f>
        <v>০১০৬</v>
      </c>
      <c r="H3119" s="75" t="s">
        <v>319</v>
      </c>
      <c r="I3119" s="75" t="s">
        <v>319</v>
      </c>
      <c r="J3119" s="5"/>
    </row>
    <row r="3120" spans="1:10" x14ac:dyDescent="0.25">
      <c r="A3120" s="39">
        <v>3119</v>
      </c>
      <c r="B3120" s="3" t="s">
        <v>4113</v>
      </c>
      <c r="C3120" s="75" t="s">
        <v>4102</v>
      </c>
      <c r="D3120" s="75" t="s">
        <v>1474</v>
      </c>
      <c r="E3120" s="75" t="str">
        <f>"০১৭২২৮১৩৯৯৪"</f>
        <v>০১৭২২৮১৩৯৯৪</v>
      </c>
      <c r="F3120" s="22" t="str">
        <f>"8119457812993"</f>
        <v>8119457812993</v>
      </c>
      <c r="G3120" s="75" t="str">
        <f>"০১০৫"</f>
        <v>০১০৫</v>
      </c>
      <c r="H3120" s="75" t="s">
        <v>371</v>
      </c>
      <c r="I3120" s="75" t="s">
        <v>371</v>
      </c>
      <c r="J3120" s="5"/>
    </row>
    <row r="3121" spans="1:10" x14ac:dyDescent="0.25">
      <c r="A3121" s="39">
        <v>3120</v>
      </c>
      <c r="B3121" s="3" t="s">
        <v>1569</v>
      </c>
      <c r="C3121" s="75" t="s">
        <v>3794</v>
      </c>
      <c r="D3121" s="75" t="s">
        <v>1474</v>
      </c>
      <c r="E3121" s="75" t="str">
        <f>"০১৭৭৩২৪৮৯০৫"</f>
        <v>০১৭৭৩২৪৮৯০৫</v>
      </c>
      <c r="F3121" s="22" t="str">
        <f>"8119457813420"</f>
        <v>8119457813420</v>
      </c>
      <c r="G3121" s="75" t="str">
        <f>"০১০৪"</f>
        <v>০১০৪</v>
      </c>
      <c r="H3121" s="75" t="s">
        <v>322</v>
      </c>
      <c r="I3121" s="75" t="s">
        <v>322</v>
      </c>
      <c r="J3121" s="5"/>
    </row>
    <row r="3122" spans="1:10" x14ac:dyDescent="0.25">
      <c r="A3122" s="39">
        <v>3121</v>
      </c>
      <c r="B3122" s="3" t="s">
        <v>4120</v>
      </c>
      <c r="C3122" s="75" t="s">
        <v>4121</v>
      </c>
      <c r="D3122" s="75" t="s">
        <v>1474</v>
      </c>
      <c r="E3122" s="75" t="str">
        <f>"০১৭৩১২৩৮৩৯৬"</f>
        <v>০১৭৩১২৩৮৩৯৬</v>
      </c>
      <c r="F3122" s="22" t="str">
        <f>"8119457813587"</f>
        <v>8119457813587</v>
      </c>
      <c r="G3122" s="75" t="str">
        <f>"০১০৩"</f>
        <v>০১০৩</v>
      </c>
      <c r="H3122" s="75" t="s">
        <v>371</v>
      </c>
      <c r="I3122" s="75" t="s">
        <v>371</v>
      </c>
      <c r="J3122" s="5"/>
    </row>
    <row r="3123" spans="1:10" x14ac:dyDescent="0.25">
      <c r="A3123" s="39">
        <v>3122</v>
      </c>
      <c r="B3123" s="3" t="s">
        <v>4122</v>
      </c>
      <c r="C3123" s="75" t="s">
        <v>2498</v>
      </c>
      <c r="D3123" s="75" t="s">
        <v>1474</v>
      </c>
      <c r="E3123" s="75" t="str">
        <f>"০১৭১৪৮৪২১৯২"</f>
        <v>০১৭১৪৮৪২১৯২</v>
      </c>
      <c r="F3123" s="22" t="str">
        <f>"8119457814086"</f>
        <v>8119457814086</v>
      </c>
      <c r="G3123" s="75" t="str">
        <f>"০১০২"</f>
        <v>০১০২</v>
      </c>
      <c r="H3123" s="75" t="s">
        <v>371</v>
      </c>
      <c r="I3123" s="75" t="s">
        <v>371</v>
      </c>
      <c r="J3123" s="5"/>
    </row>
    <row r="3124" spans="1:10" x14ac:dyDescent="0.25">
      <c r="A3124" s="39">
        <v>3123</v>
      </c>
      <c r="B3124" s="3" t="s">
        <v>3248</v>
      </c>
      <c r="C3124" s="75" t="s">
        <v>2498</v>
      </c>
      <c r="D3124" s="75" t="s">
        <v>1474</v>
      </c>
      <c r="E3124" s="75" t="str">
        <f>"০১৭১৪৮৪১৪৭২"</f>
        <v>০১৭১৪৮৪১৪৭২</v>
      </c>
      <c r="F3124" s="22" t="str">
        <f>"8119457814182"</f>
        <v>8119457814182</v>
      </c>
      <c r="G3124" s="75" t="str">
        <f>"০১০১"</f>
        <v>০১০১</v>
      </c>
      <c r="H3124" s="75" t="s">
        <v>322</v>
      </c>
      <c r="I3124" s="75" t="s">
        <v>322</v>
      </c>
      <c r="J3124" s="5"/>
    </row>
    <row r="3125" spans="1:10" x14ac:dyDescent="0.25">
      <c r="A3125" s="39">
        <v>3124</v>
      </c>
      <c r="B3125" s="3" t="s">
        <v>2498</v>
      </c>
      <c r="C3125" s="75" t="s">
        <v>1478</v>
      </c>
      <c r="D3125" s="75" t="s">
        <v>1474</v>
      </c>
      <c r="E3125" s="75" t="str">
        <f>"০১৭১৪৮৪২১৯২"</f>
        <v>০১৭১৪৮৪২১৯২</v>
      </c>
      <c r="F3125" s="22" t="str">
        <f>"8119457814082"</f>
        <v>8119457814082</v>
      </c>
      <c r="G3125" s="75" t="str">
        <f>"০১০০"</f>
        <v>০১০০</v>
      </c>
      <c r="H3125" s="75" t="s">
        <v>371</v>
      </c>
      <c r="I3125" s="75" t="s">
        <v>371</v>
      </c>
      <c r="J3125" s="5"/>
    </row>
    <row r="3126" spans="1:10" x14ac:dyDescent="0.25">
      <c r="A3126" s="39">
        <v>3125</v>
      </c>
      <c r="B3126" s="3" t="s">
        <v>1883</v>
      </c>
      <c r="C3126" s="75" t="s">
        <v>3468</v>
      </c>
      <c r="D3126" s="75" t="s">
        <v>1474</v>
      </c>
      <c r="E3126" s="75" t="str">
        <f>"০১৭১৪৮৪২১৯২"</f>
        <v>০১৭১৪৮৪২১৯২</v>
      </c>
      <c r="F3126" s="22" t="str">
        <f>"8119457814083"</f>
        <v>8119457814083</v>
      </c>
      <c r="G3126" s="75" t="str">
        <f>"০০৯৯"</f>
        <v>০০৯৯</v>
      </c>
      <c r="H3126" s="75" t="s">
        <v>364</v>
      </c>
      <c r="I3126" s="75" t="s">
        <v>364</v>
      </c>
      <c r="J3126" s="5"/>
    </row>
    <row r="3127" spans="1:10" x14ac:dyDescent="0.25">
      <c r="A3127" s="39">
        <v>3126</v>
      </c>
      <c r="B3127" s="3" t="s">
        <v>4123</v>
      </c>
      <c r="C3127" s="75" t="s">
        <v>4124</v>
      </c>
      <c r="D3127" s="75" t="s">
        <v>1474</v>
      </c>
      <c r="E3127" s="75" t="str">
        <f>"০১৭৩১২৩৮৩৯৬"</f>
        <v>০১৭৩১২৩৮৩৯৬</v>
      </c>
      <c r="F3127" s="22" t="str">
        <f>"8119457000008"</f>
        <v>8119457000008</v>
      </c>
      <c r="G3127" s="75" t="str">
        <f>"০০৯৮"</f>
        <v>০০৯৮</v>
      </c>
      <c r="H3127" s="75" t="s">
        <v>371</v>
      </c>
      <c r="I3127" s="75" t="s">
        <v>371</v>
      </c>
      <c r="J3127" s="5"/>
    </row>
    <row r="3128" spans="1:10" x14ac:dyDescent="0.25">
      <c r="A3128" s="39">
        <v>3127</v>
      </c>
      <c r="B3128" s="3" t="s">
        <v>4125</v>
      </c>
      <c r="C3128" s="75" t="s">
        <v>4126</v>
      </c>
      <c r="D3128" s="75" t="s">
        <v>1474</v>
      </c>
      <c r="E3128" s="75" t="str">
        <f>"০১৭৬৭০০৬৪০২"</f>
        <v>০১৭৬৭০০৬৪০২</v>
      </c>
      <c r="F3128" s="22" t="str">
        <f>"8119457813245"</f>
        <v>8119457813245</v>
      </c>
      <c r="G3128" s="75" t="str">
        <f>"০০৯৭"</f>
        <v>০০৯৭</v>
      </c>
      <c r="H3128" s="75" t="s">
        <v>371</v>
      </c>
      <c r="I3128" s="75" t="s">
        <v>371</v>
      </c>
      <c r="J3128" s="5"/>
    </row>
    <row r="3129" spans="1:10" x14ac:dyDescent="0.25">
      <c r="A3129" s="39">
        <v>3128</v>
      </c>
      <c r="B3129" s="3" t="s">
        <v>4127</v>
      </c>
      <c r="C3129" s="75" t="s">
        <v>4128</v>
      </c>
      <c r="D3129" s="75" t="s">
        <v>1474</v>
      </c>
      <c r="E3129" s="75" t="str">
        <f>"০১৭৭৬৮৩৩৯১৪"</f>
        <v>০১৭৭৬৮৩৩৯১৪</v>
      </c>
      <c r="F3129" s="22" t="str">
        <f>"8119457812795"</f>
        <v>8119457812795</v>
      </c>
      <c r="G3129" s="75" t="str">
        <f>"০০৯৬"</f>
        <v>০০৯৬</v>
      </c>
      <c r="H3129" s="75" t="s">
        <v>371</v>
      </c>
      <c r="I3129" s="75" t="s">
        <v>371</v>
      </c>
      <c r="J3129" s="5"/>
    </row>
    <row r="3130" spans="1:10" x14ac:dyDescent="0.25">
      <c r="A3130" s="39">
        <v>3129</v>
      </c>
      <c r="B3130" s="3" t="s">
        <v>4129</v>
      </c>
      <c r="C3130" s="75" t="s">
        <v>4130</v>
      </c>
      <c r="D3130" s="75" t="s">
        <v>1474</v>
      </c>
      <c r="E3130" s="75" t="str">
        <f>"০"</f>
        <v>০</v>
      </c>
      <c r="F3130" s="22" t="str">
        <f>"8119457813457"</f>
        <v>8119457813457</v>
      </c>
      <c r="G3130" s="75" t="str">
        <f>"০০৯৫"</f>
        <v>০০৯৫</v>
      </c>
      <c r="H3130" s="75" t="s">
        <v>322</v>
      </c>
      <c r="I3130" s="75" t="s">
        <v>322</v>
      </c>
      <c r="J3130" s="5"/>
    </row>
    <row r="3131" spans="1:10" x14ac:dyDescent="0.25">
      <c r="A3131" s="39">
        <v>3130</v>
      </c>
      <c r="B3131" s="3" t="s">
        <v>2831</v>
      </c>
      <c r="C3131" s="75" t="s">
        <v>4131</v>
      </c>
      <c r="D3131" s="75" t="s">
        <v>1474</v>
      </c>
      <c r="E3131" s="75" t="str">
        <f>"০১৭১৬১৬৭০৮২"</f>
        <v>০১৭১৬১৬৭০৮২</v>
      </c>
      <c r="F3131" s="22" t="str">
        <f>"8119457813446"</f>
        <v>8119457813446</v>
      </c>
      <c r="G3131" s="75" t="str">
        <f>"০০৯৪"</f>
        <v>০০৯৪</v>
      </c>
      <c r="H3131" s="75" t="s">
        <v>371</v>
      </c>
      <c r="I3131" s="75" t="s">
        <v>371</v>
      </c>
      <c r="J3131" s="5"/>
    </row>
    <row r="3132" spans="1:10" x14ac:dyDescent="0.25">
      <c r="A3132" s="39">
        <v>3131</v>
      </c>
      <c r="B3132" s="3" t="s">
        <v>4132</v>
      </c>
      <c r="C3132" s="75" t="s">
        <v>4133</v>
      </c>
      <c r="D3132" s="75" t="s">
        <v>1474</v>
      </c>
      <c r="E3132" s="75" t="str">
        <f>"০১৭১৯৭১১৩৫১"</f>
        <v>০১৭১৯৭১১৩৫১</v>
      </c>
      <c r="F3132" s="22" t="str">
        <f>"8119457814492"</f>
        <v>8119457814492</v>
      </c>
      <c r="G3132" s="75" t="str">
        <f>"০০৯৩"</f>
        <v>০০৯৩</v>
      </c>
      <c r="H3132" s="75" t="s">
        <v>329</v>
      </c>
      <c r="I3132" s="75" t="s">
        <v>329</v>
      </c>
      <c r="J3132" s="5"/>
    </row>
    <row r="3133" spans="1:10" x14ac:dyDescent="0.25">
      <c r="A3133" s="39">
        <v>3132</v>
      </c>
      <c r="B3133" s="3" t="s">
        <v>4134</v>
      </c>
      <c r="C3133" s="75" t="s">
        <v>4135</v>
      </c>
      <c r="D3133" s="75" t="s">
        <v>1474</v>
      </c>
      <c r="E3133" s="75" t="str">
        <f>"০১৭১৪৮১৪৩৮০"</f>
        <v>০১৭১৪৮১৪৩৮০</v>
      </c>
      <c r="F3133" s="22" t="str">
        <f>"8119457812811"</f>
        <v>8119457812811</v>
      </c>
      <c r="G3133" s="75" t="str">
        <f>"০০৯২"</f>
        <v>০০৯২</v>
      </c>
      <c r="H3133" s="75" t="s">
        <v>371</v>
      </c>
      <c r="I3133" s="75" t="s">
        <v>371</v>
      </c>
      <c r="J3133" s="5"/>
    </row>
    <row r="3134" spans="1:10" x14ac:dyDescent="0.25">
      <c r="A3134" s="39">
        <v>3133</v>
      </c>
      <c r="B3134" s="3" t="s">
        <v>4136</v>
      </c>
      <c r="C3134" s="75" t="s">
        <v>4137</v>
      </c>
      <c r="D3134" s="75" t="s">
        <v>1474</v>
      </c>
      <c r="E3134" s="75" t="str">
        <f>"০"</f>
        <v>০</v>
      </c>
      <c r="F3134" s="22" t="str">
        <f>"8119457813501"</f>
        <v>8119457813501</v>
      </c>
      <c r="G3134" s="75" t="str">
        <f>"০০৯১"</f>
        <v>০০৯১</v>
      </c>
      <c r="H3134" s="75" t="s">
        <v>371</v>
      </c>
      <c r="I3134" s="75" t="s">
        <v>371</v>
      </c>
      <c r="J3134" s="5"/>
    </row>
    <row r="3135" spans="1:10" x14ac:dyDescent="0.25">
      <c r="A3135" s="39">
        <v>3134</v>
      </c>
      <c r="B3135" s="3" t="s">
        <v>4138</v>
      </c>
      <c r="C3135" s="75" t="s">
        <v>4139</v>
      </c>
      <c r="D3135" s="75" t="s">
        <v>1474</v>
      </c>
      <c r="E3135" s="75" t="str">
        <f>"০১৭৬৭০০৭১৫৬"</f>
        <v>০১৭৬৭০০৭১৫৬</v>
      </c>
      <c r="F3135" s="22" t="str">
        <f>"8119457813050"</f>
        <v>8119457813050</v>
      </c>
      <c r="G3135" s="75" t="str">
        <f>"০০৯০"</f>
        <v>০০৯০</v>
      </c>
      <c r="H3135" s="75" t="s">
        <v>371</v>
      </c>
      <c r="I3135" s="75" t="s">
        <v>371</v>
      </c>
      <c r="J3135" s="5"/>
    </row>
    <row r="3136" spans="1:10" x14ac:dyDescent="0.25">
      <c r="A3136" s="39">
        <v>3135</v>
      </c>
      <c r="B3136" s="3" t="s">
        <v>4140</v>
      </c>
      <c r="C3136" s="75" t="s">
        <v>4141</v>
      </c>
      <c r="D3136" s="75" t="s">
        <v>1474</v>
      </c>
      <c r="E3136" s="75" t="str">
        <f>"০"</f>
        <v>০</v>
      </c>
      <c r="F3136" s="22" t="str">
        <f>"8119457813513"</f>
        <v>8119457813513</v>
      </c>
      <c r="G3136" s="75" t="str">
        <f>"০০৮৯"</f>
        <v>০০৮৯</v>
      </c>
      <c r="H3136" s="75" t="s">
        <v>371</v>
      </c>
      <c r="I3136" s="75" t="s">
        <v>371</v>
      </c>
      <c r="J3136" s="5"/>
    </row>
    <row r="3137" spans="1:10" x14ac:dyDescent="0.25">
      <c r="A3137" s="39">
        <v>3136</v>
      </c>
      <c r="B3137" s="3" t="s">
        <v>4142</v>
      </c>
      <c r="C3137" s="75" t="s">
        <v>4140</v>
      </c>
      <c r="D3137" s="75" t="s">
        <v>1474</v>
      </c>
      <c r="E3137" s="75" t="str">
        <f>"০"</f>
        <v>০</v>
      </c>
      <c r="F3137" s="22" t="str">
        <f>"8119457813645"</f>
        <v>8119457813645</v>
      </c>
      <c r="G3137" s="75" t="str">
        <f>"০০৮৮"</f>
        <v>০০৮৮</v>
      </c>
      <c r="H3137" s="75" t="s">
        <v>322</v>
      </c>
      <c r="I3137" s="75" t="s">
        <v>322</v>
      </c>
      <c r="J3137" s="5"/>
    </row>
    <row r="3138" spans="1:10" x14ac:dyDescent="0.25">
      <c r="A3138" s="39">
        <v>3137</v>
      </c>
      <c r="B3138" s="3" t="s">
        <v>1745</v>
      </c>
      <c r="C3138" s="75" t="s">
        <v>4140</v>
      </c>
      <c r="D3138" s="75" t="s">
        <v>1474</v>
      </c>
      <c r="E3138" s="75" t="str">
        <f>"০১৭১৯৫৩৩৩৪২"</f>
        <v>০১৭১৯৫৩৩৩৪২</v>
      </c>
      <c r="F3138" s="22" t="str">
        <f>"8119457813515"</f>
        <v>8119457813515</v>
      </c>
      <c r="G3138" s="75" t="str">
        <f>"০০৮৭"</f>
        <v>০০৮৭</v>
      </c>
      <c r="H3138" s="75" t="s">
        <v>322</v>
      </c>
      <c r="I3138" s="75" t="s">
        <v>322</v>
      </c>
      <c r="J3138" s="5"/>
    </row>
    <row r="3139" spans="1:10" x14ac:dyDescent="0.25">
      <c r="A3139" s="39">
        <v>3138</v>
      </c>
      <c r="B3139" s="3" t="s">
        <v>4143</v>
      </c>
      <c r="C3139" s="75" t="s">
        <v>4140</v>
      </c>
      <c r="D3139" s="75" t="s">
        <v>1474</v>
      </c>
      <c r="E3139" s="75" t="str">
        <f>"০"</f>
        <v>০</v>
      </c>
      <c r="F3139" s="22" t="str">
        <f>"8119457813538"</f>
        <v>8119457813538</v>
      </c>
      <c r="G3139" s="75" t="str">
        <f>"০০৮৬"</f>
        <v>০০৮৬</v>
      </c>
      <c r="H3139" s="75" t="s">
        <v>371</v>
      </c>
      <c r="I3139" s="75" t="s">
        <v>371</v>
      </c>
      <c r="J3139" s="5"/>
    </row>
    <row r="3140" spans="1:10" x14ac:dyDescent="0.25">
      <c r="A3140" s="39">
        <v>3139</v>
      </c>
      <c r="B3140" s="3" t="s">
        <v>2056</v>
      </c>
      <c r="C3140" s="75" t="s">
        <v>4144</v>
      </c>
      <c r="D3140" s="75" t="s">
        <v>1474</v>
      </c>
      <c r="E3140" s="75" t="str">
        <f>"০"</f>
        <v>০</v>
      </c>
      <c r="F3140" s="22" t="str">
        <f>"8119457813861"</f>
        <v>8119457813861</v>
      </c>
      <c r="G3140" s="75" t="str">
        <f>"০০৮৫"</f>
        <v>০০৮৫</v>
      </c>
      <c r="H3140" s="75" t="s">
        <v>371</v>
      </c>
      <c r="I3140" s="75" t="s">
        <v>371</v>
      </c>
      <c r="J3140" s="5"/>
    </row>
    <row r="3141" spans="1:10" x14ac:dyDescent="0.25">
      <c r="A3141" s="39">
        <v>3140</v>
      </c>
      <c r="B3141" s="3" t="s">
        <v>3825</v>
      </c>
      <c r="C3141" s="75" t="s">
        <v>4145</v>
      </c>
      <c r="D3141" s="75" t="s">
        <v>1474</v>
      </c>
      <c r="E3141" s="75" t="str">
        <f>"০১৭৩৪৮২৮৫৬০"</f>
        <v>০১৭৩৪৮২৮৫৬০</v>
      </c>
      <c r="F3141" s="22" t="str">
        <f>"8119457813290"</f>
        <v>8119457813290</v>
      </c>
      <c r="G3141" s="75" t="str">
        <f>"০০৮৪"</f>
        <v>০০৮৪</v>
      </c>
      <c r="H3141" s="75" t="s">
        <v>371</v>
      </c>
      <c r="I3141" s="75" t="s">
        <v>371</v>
      </c>
      <c r="J3141" s="5"/>
    </row>
    <row r="3142" spans="1:10" x14ac:dyDescent="0.25">
      <c r="A3142" s="39">
        <v>3141</v>
      </c>
      <c r="B3142" s="3" t="s">
        <v>4146</v>
      </c>
      <c r="C3142" s="75" t="s">
        <v>1531</v>
      </c>
      <c r="D3142" s="75" t="s">
        <v>1474</v>
      </c>
      <c r="E3142" s="75" t="str">
        <f>"০১৯৮৭২০২৯৩৩"</f>
        <v>০১৯৮৭২০২৯৩৩</v>
      </c>
      <c r="F3142" s="22" t="str">
        <f>"8119457813257"</f>
        <v>8119457813257</v>
      </c>
      <c r="G3142" s="75" t="str">
        <f>"০০৮৩"</f>
        <v>০০৮৩</v>
      </c>
      <c r="H3142" s="75" t="s">
        <v>371</v>
      </c>
      <c r="I3142" s="75" t="s">
        <v>371</v>
      </c>
      <c r="J3142" s="5"/>
    </row>
    <row r="3143" spans="1:10" x14ac:dyDescent="0.25">
      <c r="A3143" s="39">
        <v>3142</v>
      </c>
      <c r="B3143" s="3" t="s">
        <v>4147</v>
      </c>
      <c r="C3143" s="75" t="s">
        <v>4148</v>
      </c>
      <c r="D3143" s="75" t="s">
        <v>1474</v>
      </c>
      <c r="E3143" s="75" t="str">
        <f>"০"</f>
        <v>০</v>
      </c>
      <c r="F3143" s="22" t="str">
        <f>"8119457813140"</f>
        <v>8119457813140</v>
      </c>
      <c r="G3143" s="75" t="str">
        <f>"০০৮২"</f>
        <v>০০৮২</v>
      </c>
      <c r="H3143" s="75" t="s">
        <v>371</v>
      </c>
      <c r="I3143" s="75" t="s">
        <v>371</v>
      </c>
      <c r="J3143" s="5"/>
    </row>
    <row r="3144" spans="1:10" x14ac:dyDescent="0.25">
      <c r="A3144" s="39">
        <v>3143</v>
      </c>
      <c r="B3144" s="3" t="s">
        <v>4149</v>
      </c>
      <c r="C3144" s="75" t="s">
        <v>3480</v>
      </c>
      <c r="D3144" s="75" t="s">
        <v>1474</v>
      </c>
      <c r="E3144" s="75" t="str">
        <f>"০১৭৮৩৪৫৭৮৯৭"</f>
        <v>০১৭৮৩৪৫৭৮৯৭</v>
      </c>
      <c r="F3144" s="22" t="str">
        <f>"8119457813205"</f>
        <v>8119457813205</v>
      </c>
      <c r="G3144" s="75" t="str">
        <f>"০০৮১"</f>
        <v>০০৮১</v>
      </c>
      <c r="H3144" s="75" t="s">
        <v>322</v>
      </c>
      <c r="I3144" s="75" t="s">
        <v>322</v>
      </c>
      <c r="J3144" s="5"/>
    </row>
    <row r="3145" spans="1:10" x14ac:dyDescent="0.25">
      <c r="A3145" s="39">
        <v>3144</v>
      </c>
      <c r="B3145" s="3" t="s">
        <v>3744</v>
      </c>
      <c r="C3145" s="75" t="s">
        <v>4150</v>
      </c>
      <c r="D3145" s="75" t="s">
        <v>1474</v>
      </c>
      <c r="E3145" s="75" t="str">
        <f>"০১৭৭৮৮২৪০০২"</f>
        <v>০১৭৭৮৮২৪০০২</v>
      </c>
      <c r="F3145" s="22" t="str">
        <f>"8119457813167"</f>
        <v>8119457813167</v>
      </c>
      <c r="G3145" s="75" t="str">
        <f>"০০৮০"</f>
        <v>০০৮০</v>
      </c>
      <c r="H3145" s="75" t="s">
        <v>371</v>
      </c>
      <c r="I3145" s="75" t="s">
        <v>371</v>
      </c>
      <c r="J3145" s="5"/>
    </row>
    <row r="3146" spans="1:10" x14ac:dyDescent="0.25">
      <c r="A3146" s="39">
        <v>3145</v>
      </c>
      <c r="B3146" s="3" t="s">
        <v>4151</v>
      </c>
      <c r="C3146" s="75" t="s">
        <v>3480</v>
      </c>
      <c r="D3146" s="75" t="s">
        <v>1474</v>
      </c>
      <c r="E3146" s="75" t="str">
        <f>"০১৭৩৬৬৪৪৮৭৮"</f>
        <v>০১৭৩৬৬৪৪৮৭৮</v>
      </c>
      <c r="F3146" s="22" t="str">
        <f>"8119457813229"</f>
        <v>8119457813229</v>
      </c>
      <c r="G3146" s="75" t="str">
        <f>"০০৭৯"</f>
        <v>০০৭৯</v>
      </c>
      <c r="H3146" s="75" t="s">
        <v>371</v>
      </c>
      <c r="I3146" s="75" t="s">
        <v>371</v>
      </c>
      <c r="J3146" s="5"/>
    </row>
    <row r="3147" spans="1:10" x14ac:dyDescent="0.25">
      <c r="A3147" s="39">
        <v>3146</v>
      </c>
      <c r="B3147" s="3" t="s">
        <v>4152</v>
      </c>
      <c r="C3147" s="75" t="s">
        <v>4153</v>
      </c>
      <c r="D3147" s="75" t="s">
        <v>1474</v>
      </c>
      <c r="E3147" s="75" t="str">
        <f>"০১৭০৬৭৯৩৮০০"</f>
        <v>০১৭০৬৭৯৩৮০০</v>
      </c>
      <c r="F3147" s="22" t="str">
        <f>"8119457813330"</f>
        <v>8119457813330</v>
      </c>
      <c r="G3147" s="75" t="str">
        <f>"০০৭৮"</f>
        <v>০০৭৮</v>
      </c>
      <c r="H3147" s="75" t="s">
        <v>371</v>
      </c>
      <c r="I3147" s="75" t="s">
        <v>371</v>
      </c>
      <c r="J3147" s="5"/>
    </row>
    <row r="3148" spans="1:10" x14ac:dyDescent="0.25">
      <c r="A3148" s="39">
        <v>3147</v>
      </c>
      <c r="B3148" s="3" t="s">
        <v>4154</v>
      </c>
      <c r="C3148" s="75" t="s">
        <v>3825</v>
      </c>
      <c r="D3148" s="75" t="s">
        <v>1474</v>
      </c>
      <c r="E3148" s="75" t="str">
        <f>"০১৭১৮৬৮৯৩৫৪"</f>
        <v>০১৭১৮৬৮৯৩৫৪</v>
      </c>
      <c r="F3148" s="22" t="str">
        <f>"8119457813291"</f>
        <v>8119457813291</v>
      </c>
      <c r="G3148" s="75" t="str">
        <f>"০০৭৭"</f>
        <v>০০৭৭</v>
      </c>
      <c r="H3148" s="75" t="s">
        <v>371</v>
      </c>
      <c r="I3148" s="75" t="s">
        <v>371</v>
      </c>
      <c r="J3148" s="5"/>
    </row>
    <row r="3149" spans="1:10" x14ac:dyDescent="0.25">
      <c r="A3149" s="39">
        <v>3148</v>
      </c>
      <c r="B3149" s="3" t="s">
        <v>4155</v>
      </c>
      <c r="C3149" s="75" t="s">
        <v>1601</v>
      </c>
      <c r="D3149" s="75" t="s">
        <v>1474</v>
      </c>
      <c r="E3149" s="75" t="str">
        <f>"০১৭৫৫৪৮২৯৪৭"</f>
        <v>০১৭৫৫৪৮২৯৪৭</v>
      </c>
      <c r="F3149" s="22" t="str">
        <f>"8119457813258"</f>
        <v>8119457813258</v>
      </c>
      <c r="G3149" s="75" t="str">
        <f>"০০৭৬"</f>
        <v>০০৭৬</v>
      </c>
      <c r="H3149" s="75" t="s">
        <v>371</v>
      </c>
      <c r="I3149" s="75" t="s">
        <v>371</v>
      </c>
      <c r="J3149" s="5"/>
    </row>
    <row r="3150" spans="1:10" x14ac:dyDescent="0.25">
      <c r="A3150" s="39">
        <v>3149</v>
      </c>
      <c r="B3150" s="3" t="s">
        <v>2959</v>
      </c>
      <c r="C3150" s="75" t="s">
        <v>1531</v>
      </c>
      <c r="D3150" s="75" t="s">
        <v>1474</v>
      </c>
      <c r="E3150" s="75" t="str">
        <f>"০১৭৩৬৬৪৩৮৭৮"</f>
        <v>০১৭৩৬৬৪৩৮৭৮</v>
      </c>
      <c r="F3150" s="22" t="str">
        <f>"8119457815304"</f>
        <v>8119457815304</v>
      </c>
      <c r="G3150" s="75" t="str">
        <f>"০০৭৫"</f>
        <v>০০৭৫</v>
      </c>
      <c r="H3150" s="75" t="s">
        <v>371</v>
      </c>
      <c r="I3150" s="75" t="s">
        <v>371</v>
      </c>
      <c r="J3150" s="5"/>
    </row>
    <row r="3151" spans="1:10" x14ac:dyDescent="0.25">
      <c r="A3151" s="39">
        <v>3150</v>
      </c>
      <c r="B3151" s="3" t="s">
        <v>4156</v>
      </c>
      <c r="C3151" s="75" t="s">
        <v>4157</v>
      </c>
      <c r="D3151" s="75" t="s">
        <v>1474</v>
      </c>
      <c r="E3151" s="75" t="str">
        <f>"০১৭০৬৭৯৩৩৮০"</f>
        <v>০১৭০৬৭৯৩৩৮০</v>
      </c>
      <c r="F3151" s="22" t="str">
        <f>"8119457813208"</f>
        <v>8119457813208</v>
      </c>
      <c r="G3151" s="75" t="str">
        <f>"০০৭৪"</f>
        <v>০০৭৪</v>
      </c>
      <c r="H3151" s="75" t="s">
        <v>322</v>
      </c>
      <c r="I3151" s="75" t="s">
        <v>322</v>
      </c>
      <c r="J3151" s="5"/>
    </row>
    <row r="3152" spans="1:10" x14ac:dyDescent="0.25">
      <c r="A3152" s="39">
        <v>3151</v>
      </c>
      <c r="B3152" s="3" t="s">
        <v>1601</v>
      </c>
      <c r="C3152" s="75" t="s">
        <v>4158</v>
      </c>
      <c r="D3152" s="75" t="s">
        <v>1474</v>
      </c>
      <c r="E3152" s="75" t="str">
        <f>"০১৭১৮৬৮৯৩৫০"</f>
        <v>০১৭১৮৬৮৯৩৫০</v>
      </c>
      <c r="F3152" s="22" t="str">
        <f>"8119457813321"</f>
        <v>8119457813321</v>
      </c>
      <c r="G3152" s="75" t="str">
        <f>"০০৭৩"</f>
        <v>০০৭৩</v>
      </c>
      <c r="H3152" s="75" t="s">
        <v>371</v>
      </c>
      <c r="I3152" s="75" t="s">
        <v>371</v>
      </c>
      <c r="J3152" s="5"/>
    </row>
    <row r="3153" spans="1:10" x14ac:dyDescent="0.25">
      <c r="A3153" s="39">
        <v>3152</v>
      </c>
      <c r="B3153" s="3" t="s">
        <v>4159</v>
      </c>
      <c r="C3153" s="75" t="s">
        <v>4160</v>
      </c>
      <c r="D3153" s="75" t="s">
        <v>1474</v>
      </c>
      <c r="E3153" s="75" t="str">
        <f>"০১৭৫৫২৮২৯৪৭"</f>
        <v>০১৭৫৫২৮২৯৪৭</v>
      </c>
      <c r="F3153" s="22" t="str">
        <f>"8119457813252"</f>
        <v>8119457813252</v>
      </c>
      <c r="G3153" s="75" t="str">
        <f>"০০৭২"</f>
        <v>০০৭২</v>
      </c>
      <c r="H3153" s="75" t="s">
        <v>329</v>
      </c>
      <c r="I3153" s="75" t="s">
        <v>329</v>
      </c>
      <c r="J3153" s="5"/>
    </row>
    <row r="3154" spans="1:10" x14ac:dyDescent="0.25">
      <c r="A3154" s="39">
        <v>3153</v>
      </c>
      <c r="B3154" s="3" t="s">
        <v>2224</v>
      </c>
      <c r="C3154" s="75" t="s">
        <v>4161</v>
      </c>
      <c r="D3154" s="75" t="s">
        <v>1474</v>
      </c>
      <c r="E3154" s="75" t="str">
        <f>"০১৭২৮০৭০২০৫"</f>
        <v>০১৭২৮০৭০২০৫</v>
      </c>
      <c r="F3154" s="22" t="str">
        <f>"8119457813266"</f>
        <v>8119457813266</v>
      </c>
      <c r="G3154" s="75" t="str">
        <f>"০০৭১"</f>
        <v>০০৭১</v>
      </c>
      <c r="H3154" s="75" t="s">
        <v>319</v>
      </c>
      <c r="I3154" s="75" t="s">
        <v>319</v>
      </c>
      <c r="J3154" s="5"/>
    </row>
    <row r="3155" spans="1:10" x14ac:dyDescent="0.25">
      <c r="A3155" s="39">
        <v>3154</v>
      </c>
      <c r="B3155" s="3" t="s">
        <v>2185</v>
      </c>
      <c r="C3155" s="75" t="s">
        <v>4162</v>
      </c>
      <c r="D3155" s="75" t="s">
        <v>1474</v>
      </c>
      <c r="E3155" s="75" t="str">
        <f>"০১৭২৬৭৫৯১৭১"</f>
        <v>০১৭২৬৭৫৯১৭১</v>
      </c>
      <c r="F3155" s="22" t="str">
        <f>"8119457813233"</f>
        <v>8119457813233</v>
      </c>
      <c r="G3155" s="75" t="str">
        <f>"০০৭০"</f>
        <v>০০৭০</v>
      </c>
      <c r="H3155" s="75" t="s">
        <v>319</v>
      </c>
      <c r="I3155" s="75" t="s">
        <v>319</v>
      </c>
      <c r="J3155" s="5"/>
    </row>
    <row r="3156" spans="1:10" x14ac:dyDescent="0.25">
      <c r="A3156" s="39">
        <v>3155</v>
      </c>
      <c r="B3156" s="3" t="s">
        <v>4163</v>
      </c>
      <c r="C3156" s="75" t="s">
        <v>4164</v>
      </c>
      <c r="D3156" s="75" t="s">
        <v>1474</v>
      </c>
      <c r="E3156" s="75" t="str">
        <f>"০১৭৫৪৫০৫২৪৩"</f>
        <v>০১৭৫৪৫০৫২৪৩</v>
      </c>
      <c r="F3156" s="22" t="str">
        <f>"8119457813576"</f>
        <v>8119457813576</v>
      </c>
      <c r="G3156" s="75" t="str">
        <f>"০০৬৯"</f>
        <v>০০৬৯</v>
      </c>
      <c r="H3156" s="75" t="s">
        <v>319</v>
      </c>
      <c r="I3156" s="75" t="s">
        <v>319</v>
      </c>
      <c r="J3156" s="5"/>
    </row>
    <row r="3157" spans="1:10" x14ac:dyDescent="0.25">
      <c r="A3157" s="39">
        <v>3156</v>
      </c>
      <c r="B3157" s="3" t="s">
        <v>4165</v>
      </c>
      <c r="C3157" s="75" t="s">
        <v>2902</v>
      </c>
      <c r="D3157" s="75" t="s">
        <v>1474</v>
      </c>
      <c r="E3157" s="75" t="str">
        <f>"০"</f>
        <v>০</v>
      </c>
      <c r="F3157" s="22" t="str">
        <f>"8119457813227"</f>
        <v>8119457813227</v>
      </c>
      <c r="G3157" s="75" t="str">
        <f>"০০৬৮"</f>
        <v>০০৬৮</v>
      </c>
      <c r="H3157" s="75" t="s">
        <v>322</v>
      </c>
      <c r="I3157" s="75" t="s">
        <v>322</v>
      </c>
      <c r="J3157" s="5"/>
    </row>
    <row r="3158" spans="1:10" x14ac:dyDescent="0.25">
      <c r="A3158" s="39">
        <v>3157</v>
      </c>
      <c r="B3158" s="3" t="s">
        <v>3550</v>
      </c>
      <c r="C3158" s="75" t="s">
        <v>3263</v>
      </c>
      <c r="D3158" s="75" t="s">
        <v>1474</v>
      </c>
      <c r="E3158" s="75" t="str">
        <f>"০"</f>
        <v>০</v>
      </c>
      <c r="F3158" s="22" t="str">
        <f>"8119457813163"</f>
        <v>8119457813163</v>
      </c>
      <c r="G3158" s="75" t="str">
        <f>"০০৬৭"</f>
        <v>০০৬৭</v>
      </c>
      <c r="H3158" s="75" t="s">
        <v>371</v>
      </c>
      <c r="I3158" s="75" t="s">
        <v>371</v>
      </c>
      <c r="J3158" s="5"/>
    </row>
    <row r="3159" spans="1:10" x14ac:dyDescent="0.25">
      <c r="A3159" s="39">
        <v>3158</v>
      </c>
      <c r="B3159" s="3" t="s">
        <v>4166</v>
      </c>
      <c r="C3159" s="75" t="s">
        <v>4167</v>
      </c>
      <c r="D3159" s="75" t="s">
        <v>1474</v>
      </c>
      <c r="E3159" s="75" t="str">
        <f>"০১৭৬৬৫৪২৬১২"</f>
        <v>০১৭৬৬৫৪২৬১২</v>
      </c>
      <c r="F3159" s="22" t="str">
        <f>"8119457813225"</f>
        <v>8119457813225</v>
      </c>
      <c r="G3159" s="75" t="str">
        <f>"০০৬৬"</f>
        <v>০০৬৬</v>
      </c>
      <c r="H3159" s="75" t="s">
        <v>319</v>
      </c>
      <c r="I3159" s="75" t="s">
        <v>319</v>
      </c>
      <c r="J3159" s="5"/>
    </row>
    <row r="3160" spans="1:10" x14ac:dyDescent="0.25">
      <c r="A3160" s="39">
        <v>3159</v>
      </c>
      <c r="B3160" s="3" t="s">
        <v>4168</v>
      </c>
      <c r="C3160" s="75" t="s">
        <v>4169</v>
      </c>
      <c r="D3160" s="75" t="s">
        <v>1474</v>
      </c>
      <c r="E3160" s="75" t="str">
        <f>"০"</f>
        <v>০</v>
      </c>
      <c r="F3160" s="22" t="str">
        <f>"8119457813153"</f>
        <v>8119457813153</v>
      </c>
      <c r="G3160" s="75" t="str">
        <f>"০০৬৫"</f>
        <v>০০৬৫</v>
      </c>
      <c r="H3160" s="75" t="s">
        <v>322</v>
      </c>
      <c r="I3160" s="75" t="s">
        <v>322</v>
      </c>
      <c r="J3160" s="5"/>
    </row>
    <row r="3161" spans="1:10" x14ac:dyDescent="0.25">
      <c r="A3161" s="39">
        <v>3160</v>
      </c>
      <c r="B3161" s="3" t="s">
        <v>2274</v>
      </c>
      <c r="C3161" s="75" t="s">
        <v>4170</v>
      </c>
      <c r="D3161" s="75" t="s">
        <v>1474</v>
      </c>
      <c r="E3161" s="75" t="str">
        <f>"০১৭৮৮১৬২৪০৯"</f>
        <v>০১৭৮৮১৬২৪০৯</v>
      </c>
      <c r="F3161" s="22" t="str">
        <f>"8119457813246"</f>
        <v>8119457813246</v>
      </c>
      <c r="G3161" s="75" t="str">
        <f>"০০৬৪"</f>
        <v>০০৬৪</v>
      </c>
      <c r="H3161" s="75" t="s">
        <v>319</v>
      </c>
      <c r="I3161" s="75" t="s">
        <v>319</v>
      </c>
      <c r="J3161" s="5"/>
    </row>
    <row r="3162" spans="1:10" x14ac:dyDescent="0.25">
      <c r="A3162" s="39">
        <v>3161</v>
      </c>
      <c r="B3162" s="3" t="s">
        <v>4171</v>
      </c>
      <c r="C3162" s="75" t="s">
        <v>4172</v>
      </c>
      <c r="D3162" s="75" t="s">
        <v>1474</v>
      </c>
      <c r="E3162" s="75" t="str">
        <f>"০"</f>
        <v>০</v>
      </c>
      <c r="F3162" s="22" t="str">
        <f>"8119457813263"</f>
        <v>8119457813263</v>
      </c>
      <c r="G3162" s="75" t="str">
        <f>"০০৬৩"</f>
        <v>০০৬৩</v>
      </c>
      <c r="H3162" s="75" t="s">
        <v>319</v>
      </c>
      <c r="I3162" s="75" t="s">
        <v>319</v>
      </c>
      <c r="J3162" s="5"/>
    </row>
    <row r="3163" spans="1:10" x14ac:dyDescent="0.25">
      <c r="A3163" s="39">
        <v>3162</v>
      </c>
      <c r="B3163" s="3" t="s">
        <v>3909</v>
      </c>
      <c r="C3163" s="75" t="s">
        <v>2374</v>
      </c>
      <c r="D3163" s="75" t="s">
        <v>1474</v>
      </c>
      <c r="E3163" s="75" t="str">
        <f>"০"</f>
        <v>০</v>
      </c>
      <c r="F3163" s="22" t="str">
        <f>"8119457813261"</f>
        <v>8119457813261</v>
      </c>
      <c r="G3163" s="75" t="str">
        <f>"০০৬২"</f>
        <v>০০৬২</v>
      </c>
      <c r="H3163" s="75" t="s">
        <v>322</v>
      </c>
      <c r="I3163" s="75" t="s">
        <v>322</v>
      </c>
      <c r="J3163" s="5"/>
    </row>
    <row r="3164" spans="1:10" x14ac:dyDescent="0.25">
      <c r="A3164" s="39">
        <v>3163</v>
      </c>
      <c r="B3164" s="3" t="s">
        <v>4173</v>
      </c>
      <c r="C3164" s="75" t="s">
        <v>4174</v>
      </c>
      <c r="D3164" s="75" t="s">
        <v>1474</v>
      </c>
      <c r="E3164" s="75" t="str">
        <f>"০১৭২৪৩৯৮৭২২"</f>
        <v>০১৭২৪৩৯৮৭২২</v>
      </c>
      <c r="F3164" s="22" t="str">
        <f>"8119457813327"</f>
        <v>8119457813327</v>
      </c>
      <c r="G3164" s="75" t="str">
        <f>"০০৬১"</f>
        <v>০০৬১</v>
      </c>
      <c r="H3164" s="75" t="s">
        <v>371</v>
      </c>
      <c r="I3164" s="75" t="s">
        <v>371</v>
      </c>
      <c r="J3164" s="5"/>
    </row>
    <row r="3165" spans="1:10" x14ac:dyDescent="0.25">
      <c r="A3165" s="39">
        <v>3164</v>
      </c>
      <c r="B3165" s="3" t="s">
        <v>4175</v>
      </c>
      <c r="C3165" s="75" t="s">
        <v>4176</v>
      </c>
      <c r="D3165" s="75" t="s">
        <v>1474</v>
      </c>
      <c r="E3165" s="75" t="str">
        <f>"০১৭৩৩০২১৬৭৭"</f>
        <v>০১৭৩৩০২১৬৭৭</v>
      </c>
      <c r="F3165" s="22" t="str">
        <f>"8119457815317"</f>
        <v>8119457815317</v>
      </c>
      <c r="G3165" s="75" t="str">
        <f>"০০৬০"</f>
        <v>০০৬০</v>
      </c>
      <c r="H3165" s="75" t="s">
        <v>371</v>
      </c>
      <c r="I3165" s="75" t="s">
        <v>371</v>
      </c>
      <c r="J3165" s="5"/>
    </row>
    <row r="3166" spans="1:10" x14ac:dyDescent="0.25">
      <c r="A3166" s="39">
        <v>3165</v>
      </c>
      <c r="B3166" s="3" t="s">
        <v>4177</v>
      </c>
      <c r="C3166" s="75" t="s">
        <v>4178</v>
      </c>
      <c r="D3166" s="75" t="s">
        <v>1474</v>
      </c>
      <c r="E3166" s="75" t="str">
        <f>"০"</f>
        <v>০</v>
      </c>
      <c r="F3166" s="22" t="str">
        <f>"8119457813271"</f>
        <v>8119457813271</v>
      </c>
      <c r="G3166" s="75" t="str">
        <f>"০০৫৯"</f>
        <v>০০৫৯</v>
      </c>
      <c r="H3166" s="75" t="s">
        <v>315</v>
      </c>
      <c r="I3166" s="75" t="s">
        <v>315</v>
      </c>
      <c r="J3166" s="5"/>
    </row>
    <row r="3167" spans="1:10" x14ac:dyDescent="0.25">
      <c r="A3167" s="39">
        <v>3166</v>
      </c>
      <c r="B3167" s="3" t="s">
        <v>4179</v>
      </c>
      <c r="C3167" s="75" t="s">
        <v>4180</v>
      </c>
      <c r="D3167" s="75" t="s">
        <v>1474</v>
      </c>
      <c r="E3167" s="75" t="str">
        <f>"০১৭৫০২৯২২৬০"</f>
        <v>০১৭৫০২৯২২৬০</v>
      </c>
      <c r="F3167" s="22" t="str">
        <f>"8119457813292"</f>
        <v>8119457813292</v>
      </c>
      <c r="G3167" s="75" t="str">
        <f>"০০৫৮"</f>
        <v>০০৫৮</v>
      </c>
      <c r="H3167" s="75" t="s">
        <v>319</v>
      </c>
      <c r="I3167" s="75" t="s">
        <v>319</v>
      </c>
      <c r="J3167" s="5"/>
    </row>
    <row r="3168" spans="1:10" x14ac:dyDescent="0.25">
      <c r="A3168" s="39">
        <v>3167</v>
      </c>
      <c r="B3168" s="3" t="s">
        <v>4181</v>
      </c>
      <c r="C3168" s="75" t="s">
        <v>3378</v>
      </c>
      <c r="D3168" s="75" t="s">
        <v>1474</v>
      </c>
      <c r="E3168" s="75" t="str">
        <f>"০১৭৫৫৭৪৬৫১৪"</f>
        <v>০১৭৫৫৭৪৬৫১৪</v>
      </c>
      <c r="F3168" s="22" t="str">
        <f>"8119457813317"</f>
        <v>8119457813317</v>
      </c>
      <c r="G3168" s="75" t="str">
        <f>"০০৫৭"</f>
        <v>০০৫৭</v>
      </c>
      <c r="H3168" s="75" t="s">
        <v>319</v>
      </c>
      <c r="I3168" s="75" t="s">
        <v>319</v>
      </c>
      <c r="J3168" s="5"/>
    </row>
    <row r="3169" spans="1:10" x14ac:dyDescent="0.25">
      <c r="A3169" s="39">
        <v>3168</v>
      </c>
      <c r="B3169" s="3" t="s">
        <v>3378</v>
      </c>
      <c r="C3169" s="75" t="s">
        <v>4182</v>
      </c>
      <c r="D3169" s="75" t="s">
        <v>1474</v>
      </c>
      <c r="E3169" s="75" t="str">
        <f>"০১৭৪৫০৭৭৫৩৮"</f>
        <v>০১৭৪৫০৭৭৫৩৮</v>
      </c>
      <c r="F3169" s="22" t="str">
        <f>"8119457813323"</f>
        <v>8119457813323</v>
      </c>
      <c r="G3169" s="75" t="str">
        <f>"০০৫৬"</f>
        <v>০০৫৬</v>
      </c>
      <c r="H3169" s="75" t="s">
        <v>371</v>
      </c>
      <c r="I3169" s="75" t="s">
        <v>371</v>
      </c>
      <c r="J3169" s="5"/>
    </row>
    <row r="3170" spans="1:10" x14ac:dyDescent="0.25">
      <c r="A3170" s="39">
        <v>3169</v>
      </c>
      <c r="B3170" s="3" t="s">
        <v>4183</v>
      </c>
      <c r="C3170" s="75" t="s">
        <v>4184</v>
      </c>
      <c r="D3170" s="75" t="s">
        <v>1474</v>
      </c>
      <c r="E3170" s="75" t="str">
        <f>"০১৭৩৭২৪৩৫৩৮"</f>
        <v>০১৭৩৭২৪৩৫৩৮</v>
      </c>
      <c r="F3170" s="22" t="str">
        <f>"8119457813177"</f>
        <v>8119457813177</v>
      </c>
      <c r="G3170" s="75" t="str">
        <f>"০০৫৫"</f>
        <v>০০৫৫</v>
      </c>
      <c r="H3170" s="75" t="s">
        <v>329</v>
      </c>
      <c r="I3170" s="75" t="s">
        <v>329</v>
      </c>
      <c r="J3170" s="5"/>
    </row>
    <row r="3171" spans="1:10" x14ac:dyDescent="0.25">
      <c r="A3171" s="39">
        <v>3170</v>
      </c>
      <c r="B3171" s="3" t="s">
        <v>4185</v>
      </c>
      <c r="C3171" s="75" t="s">
        <v>4180</v>
      </c>
      <c r="D3171" s="75" t="s">
        <v>1474</v>
      </c>
      <c r="E3171" s="75" t="str">
        <f>"০১৭৩৯৭০৬১৬৪"</f>
        <v>০১৭৩৯৭০৬১৬৪</v>
      </c>
      <c r="F3171" s="22" t="str">
        <f>"8119457813193"</f>
        <v>8119457813193</v>
      </c>
      <c r="G3171" s="75" t="str">
        <f>"০০৫৪"</f>
        <v>০০৫৪</v>
      </c>
      <c r="H3171" s="75" t="s">
        <v>322</v>
      </c>
      <c r="I3171" s="75" t="s">
        <v>322</v>
      </c>
      <c r="J3171" s="5"/>
    </row>
    <row r="3172" spans="1:10" x14ac:dyDescent="0.25">
      <c r="A3172" s="39">
        <v>3171</v>
      </c>
      <c r="B3172" s="3" t="s">
        <v>3415</v>
      </c>
      <c r="C3172" s="75" t="s">
        <v>4186</v>
      </c>
      <c r="D3172" s="75" t="s">
        <v>1474</v>
      </c>
      <c r="E3172" s="75" t="str">
        <f>"০১৭৬৭২৮৪৭১৪"</f>
        <v>০১৭৬৭২৮৪৭১৪</v>
      </c>
      <c r="F3172" s="22" t="str">
        <f>"8119457813232"</f>
        <v>8119457813232</v>
      </c>
      <c r="G3172" s="75" t="str">
        <f>"০০৫৩"</f>
        <v>০০৫৩</v>
      </c>
      <c r="H3172" s="75" t="s">
        <v>319</v>
      </c>
      <c r="I3172" s="75" t="s">
        <v>319</v>
      </c>
      <c r="J3172" s="5"/>
    </row>
    <row r="3173" spans="1:10" x14ac:dyDescent="0.25">
      <c r="A3173" s="39">
        <v>3172</v>
      </c>
      <c r="B3173" s="3" t="s">
        <v>4187</v>
      </c>
      <c r="C3173" s="75" t="s">
        <v>4186</v>
      </c>
      <c r="D3173" s="75" t="s">
        <v>1474</v>
      </c>
      <c r="E3173" s="75" t="str">
        <f>"০১৭৬৭১৫৮৩৩০"</f>
        <v>০১৭৬৭১৫৮৩৩০</v>
      </c>
      <c r="F3173" s="22" t="str">
        <f>"8119457813151"</f>
        <v>8119457813151</v>
      </c>
      <c r="G3173" s="75" t="str">
        <f>"০০৫২"</f>
        <v>০০৫২</v>
      </c>
      <c r="H3173" s="75" t="s">
        <v>330</v>
      </c>
      <c r="I3173" s="75" t="s">
        <v>330</v>
      </c>
      <c r="J3173" s="5"/>
    </row>
    <row r="3174" spans="1:10" x14ac:dyDescent="0.25">
      <c r="A3174" s="39">
        <v>3173</v>
      </c>
      <c r="B3174" s="3" t="s">
        <v>3536</v>
      </c>
      <c r="C3174" s="75" t="s">
        <v>3415</v>
      </c>
      <c r="D3174" s="75" t="s">
        <v>1474</v>
      </c>
      <c r="E3174" s="75" t="str">
        <f>"০১৭৬৭২৮৪৭১৪"</f>
        <v>০১৭৬৭২৮৪৭১৪</v>
      </c>
      <c r="F3174" s="22" t="str">
        <f>"8119457813152"</f>
        <v>8119457813152</v>
      </c>
      <c r="G3174" s="75" t="str">
        <f>"০০৫১"</f>
        <v>০০৫১</v>
      </c>
      <c r="H3174" s="75" t="s">
        <v>329</v>
      </c>
      <c r="I3174" s="75" t="s">
        <v>329</v>
      </c>
      <c r="J3174" s="5"/>
    </row>
    <row r="3175" spans="1:10" x14ac:dyDescent="0.25">
      <c r="A3175" s="39">
        <v>3174</v>
      </c>
      <c r="B3175" s="3" t="s">
        <v>1560</v>
      </c>
      <c r="C3175" s="75" t="s">
        <v>3695</v>
      </c>
      <c r="D3175" s="75" t="s">
        <v>1474</v>
      </c>
      <c r="E3175" s="75" t="str">
        <f>"০"</f>
        <v>০</v>
      </c>
      <c r="F3175" s="22" t="str">
        <f>"8119457813165"</f>
        <v>8119457813165</v>
      </c>
      <c r="G3175" s="75" t="str">
        <f>"০০৫০"</f>
        <v>০০৫০</v>
      </c>
      <c r="H3175" s="75" t="s">
        <v>322</v>
      </c>
      <c r="I3175" s="75" t="s">
        <v>322</v>
      </c>
      <c r="J3175" s="5"/>
    </row>
    <row r="3176" spans="1:10" x14ac:dyDescent="0.25">
      <c r="A3176" s="39">
        <v>3175</v>
      </c>
      <c r="B3176" s="3" t="s">
        <v>4188</v>
      </c>
      <c r="C3176" s="75" t="s">
        <v>4189</v>
      </c>
      <c r="D3176" s="75" t="s">
        <v>1474</v>
      </c>
      <c r="E3176" s="75" t="str">
        <f>"০১৭২৪৯৫৮০০১"</f>
        <v>০১৭২৪৯৫৮০০১</v>
      </c>
      <c r="F3176" s="22" t="str">
        <f>"8119457813204"</f>
        <v>8119457813204</v>
      </c>
      <c r="G3176" s="75" t="str">
        <f>"০০৪৯"</f>
        <v>০০৪৯</v>
      </c>
      <c r="H3176" s="75" t="s">
        <v>319</v>
      </c>
      <c r="I3176" s="75" t="s">
        <v>319</v>
      </c>
      <c r="J3176" s="5"/>
    </row>
    <row r="3177" spans="1:10" x14ac:dyDescent="0.25">
      <c r="A3177" s="39">
        <v>3176</v>
      </c>
      <c r="B3177" s="3" t="s">
        <v>4126</v>
      </c>
      <c r="C3177" s="75" t="s">
        <v>1479</v>
      </c>
      <c r="D3177" s="75" t="s">
        <v>1474</v>
      </c>
      <c r="E3177" s="75" t="str">
        <f>"০১৭২৪৯৫৮০০১"</f>
        <v>০১৭২৪৯৫৮০০১</v>
      </c>
      <c r="F3177" s="22" t="str">
        <f>"8119457813247"</f>
        <v>8119457813247</v>
      </c>
      <c r="G3177" s="75" t="str">
        <f>"০০৪৮"</f>
        <v>০০৪৮</v>
      </c>
      <c r="H3177" s="75" t="s">
        <v>456</v>
      </c>
      <c r="I3177" s="75" t="s">
        <v>456</v>
      </c>
      <c r="J3177" s="5"/>
    </row>
    <row r="3178" spans="1:10" x14ac:dyDescent="0.25">
      <c r="A3178" s="39">
        <v>3177</v>
      </c>
      <c r="B3178" s="3" t="s">
        <v>4190</v>
      </c>
      <c r="C3178" s="75" t="s">
        <v>4191</v>
      </c>
      <c r="D3178" s="75" t="s">
        <v>1474</v>
      </c>
      <c r="E3178" s="75" t="str">
        <f>"০১৭৬১৫০০৬০২"</f>
        <v>০১৭৬১৫০০৬০২</v>
      </c>
      <c r="F3178" s="22" t="str">
        <f>"8119457813100"</f>
        <v>8119457813100</v>
      </c>
      <c r="G3178" s="75" t="str">
        <f>"০০৪৭"</f>
        <v>০০৪৭</v>
      </c>
      <c r="H3178" s="75" t="s">
        <v>1394</v>
      </c>
      <c r="I3178" s="75" t="s">
        <v>1394</v>
      </c>
      <c r="J3178" s="5"/>
    </row>
    <row r="3179" spans="1:10" x14ac:dyDescent="0.25">
      <c r="A3179" s="39">
        <v>3178</v>
      </c>
      <c r="B3179" s="3" t="s">
        <v>4192</v>
      </c>
      <c r="C3179" s="75" t="s">
        <v>4193</v>
      </c>
      <c r="D3179" s="75" t="s">
        <v>1474</v>
      </c>
      <c r="E3179" s="75" t="str">
        <f>"০"</f>
        <v>০</v>
      </c>
      <c r="F3179" s="22" t="str">
        <f>"8119457814899"</f>
        <v>8119457814899</v>
      </c>
      <c r="G3179" s="75" t="str">
        <f>"০০৪৬"</f>
        <v>০০৪৬</v>
      </c>
      <c r="H3179" s="75" t="s">
        <v>319</v>
      </c>
      <c r="I3179" s="75" t="s">
        <v>319</v>
      </c>
      <c r="J3179" s="5"/>
    </row>
    <row r="3180" spans="1:10" x14ac:dyDescent="0.25">
      <c r="A3180" s="39">
        <v>3179</v>
      </c>
      <c r="B3180" s="3" t="s">
        <v>4194</v>
      </c>
      <c r="C3180" s="75" t="s">
        <v>4195</v>
      </c>
      <c r="D3180" s="75" t="s">
        <v>1474</v>
      </c>
      <c r="E3180" s="75" t="str">
        <f>"০"</f>
        <v>০</v>
      </c>
      <c r="F3180" s="22" t="str">
        <f>"8119457813111"</f>
        <v>8119457813111</v>
      </c>
      <c r="G3180" s="75" t="str">
        <f>"০০৪৫"</f>
        <v>০০৪৫</v>
      </c>
      <c r="H3180" s="75" t="s">
        <v>456</v>
      </c>
      <c r="I3180" s="75" t="s">
        <v>456</v>
      </c>
      <c r="J3180" s="5"/>
    </row>
    <row r="3181" spans="1:10" x14ac:dyDescent="0.25">
      <c r="A3181" s="39">
        <v>3180</v>
      </c>
      <c r="B3181" s="3" t="s">
        <v>1932</v>
      </c>
      <c r="C3181" s="75" t="s">
        <v>4196</v>
      </c>
      <c r="D3181" s="75" t="s">
        <v>1474</v>
      </c>
      <c r="E3181" s="75" t="str">
        <f>"০১৭১৩৭৩০৪৩৮"</f>
        <v>০১৭১৩৭৩০৪৩৮</v>
      </c>
      <c r="F3181" s="22" t="str">
        <f>"8119457813237"</f>
        <v>8119457813237</v>
      </c>
      <c r="G3181" s="75" t="str">
        <f>"০০৪৪"</f>
        <v>০০৪৪</v>
      </c>
      <c r="H3181" s="75" t="s">
        <v>330</v>
      </c>
      <c r="I3181" s="75" t="s">
        <v>330</v>
      </c>
      <c r="J3181" s="5"/>
    </row>
    <row r="3182" spans="1:10" x14ac:dyDescent="0.25">
      <c r="A3182" s="39">
        <v>3181</v>
      </c>
      <c r="B3182" s="3" t="s">
        <v>2959</v>
      </c>
      <c r="C3182" s="75" t="s">
        <v>4197</v>
      </c>
      <c r="D3182" s="75" t="s">
        <v>1474</v>
      </c>
      <c r="E3182" s="75" t="str">
        <f>"০১৭৭৬৮৩৩৯০৪"</f>
        <v>০১৭৭৬৮৩৩৯০৪</v>
      </c>
      <c r="F3182" s="22" t="str">
        <f>"8119457813119"</f>
        <v>8119457813119</v>
      </c>
      <c r="G3182" s="75" t="str">
        <f>"০০৪৩"</f>
        <v>০০৪৩</v>
      </c>
      <c r="H3182" s="75" t="s">
        <v>319</v>
      </c>
      <c r="I3182" s="75" t="s">
        <v>319</v>
      </c>
      <c r="J3182" s="5"/>
    </row>
    <row r="3183" spans="1:10" x14ac:dyDescent="0.25">
      <c r="A3183" s="39">
        <v>3182</v>
      </c>
      <c r="B3183" s="3" t="s">
        <v>4198</v>
      </c>
      <c r="C3183" s="75" t="s">
        <v>4182</v>
      </c>
      <c r="D3183" s="75" t="s">
        <v>1474</v>
      </c>
      <c r="E3183" s="75" t="str">
        <f>"০১৭৩১৩৭৬৭৪১"</f>
        <v>০১৭৩১৩৭৬৭৪১</v>
      </c>
      <c r="F3183" s="22" t="str">
        <f>"8119457813134"</f>
        <v>8119457813134</v>
      </c>
      <c r="G3183" s="75" t="str">
        <f>"০০৪২"</f>
        <v>০০৪২</v>
      </c>
      <c r="H3183" s="75" t="s">
        <v>322</v>
      </c>
      <c r="I3183" s="75" t="s">
        <v>322</v>
      </c>
      <c r="J3183" s="5"/>
    </row>
    <row r="3184" spans="1:10" x14ac:dyDescent="0.25">
      <c r="A3184" s="39">
        <v>3183</v>
      </c>
      <c r="B3184" s="3" t="s">
        <v>4199</v>
      </c>
      <c r="C3184" s="75" t="s">
        <v>4200</v>
      </c>
      <c r="D3184" s="75" t="s">
        <v>1474</v>
      </c>
      <c r="E3184" s="75" t="str">
        <f>"০"</f>
        <v>০</v>
      </c>
      <c r="F3184" s="22" t="str">
        <f>"8119457813294"</f>
        <v>8119457813294</v>
      </c>
      <c r="G3184" s="75" t="str">
        <f>"০০৪১"</f>
        <v>০০৪১</v>
      </c>
      <c r="H3184" s="75" t="s">
        <v>364</v>
      </c>
      <c r="I3184" s="75" t="s">
        <v>364</v>
      </c>
      <c r="J3184" s="5"/>
    </row>
    <row r="3185" spans="1:10" x14ac:dyDescent="0.25">
      <c r="A3185" s="39">
        <v>3184</v>
      </c>
      <c r="B3185" s="3" t="s">
        <v>4201</v>
      </c>
      <c r="C3185" s="75" t="s">
        <v>4202</v>
      </c>
      <c r="D3185" s="75" t="s">
        <v>1474</v>
      </c>
      <c r="E3185" s="75" t="str">
        <f>"০১৭১৯২০৯৬৬৬"</f>
        <v>০১৭১৯২০৯৬৬৬</v>
      </c>
      <c r="F3185" s="22" t="str">
        <f>"8119457813157"</f>
        <v>8119457813157</v>
      </c>
      <c r="G3185" s="75" t="str">
        <f>"০০৪০"</f>
        <v>০০৪০</v>
      </c>
      <c r="H3185" s="75" t="s">
        <v>319</v>
      </c>
      <c r="I3185" s="75" t="s">
        <v>319</v>
      </c>
      <c r="J3185" s="5"/>
    </row>
    <row r="3186" spans="1:10" x14ac:dyDescent="0.25">
      <c r="A3186" s="39">
        <v>3185</v>
      </c>
      <c r="B3186" s="3" t="s">
        <v>5059</v>
      </c>
      <c r="C3186" s="75" t="s">
        <v>4203</v>
      </c>
      <c r="D3186" s="75" t="s">
        <v>1474</v>
      </c>
      <c r="E3186" s="75" t="str">
        <f>"০১৭৪৪৩৫৫১৯৩"</f>
        <v>০১৭৪৪৩৫৫১৯৩</v>
      </c>
      <c r="F3186" s="22" t="str">
        <f>"8119457813123"</f>
        <v>8119457813123</v>
      </c>
      <c r="G3186" s="75" t="str">
        <f>"০০৩৯"</f>
        <v>০০৩৯</v>
      </c>
      <c r="H3186" s="75" t="s">
        <v>329</v>
      </c>
      <c r="I3186" s="75" t="s">
        <v>329</v>
      </c>
      <c r="J3186" s="5"/>
    </row>
    <row r="3187" spans="1:10" x14ac:dyDescent="0.25">
      <c r="A3187" s="39">
        <v>3186</v>
      </c>
      <c r="B3187" s="3" t="s">
        <v>4204</v>
      </c>
      <c r="C3187" s="75" t="s">
        <v>4205</v>
      </c>
      <c r="D3187" s="75" t="s">
        <v>1474</v>
      </c>
      <c r="E3187" s="75" t="str">
        <f>"০১৭৩৭৬৫২০৫৯"</f>
        <v>০১৭৩৭৬৫২০৫৯</v>
      </c>
      <c r="F3187" s="22" t="str">
        <f>"8119457813124"</f>
        <v>8119457813124</v>
      </c>
      <c r="G3187" s="75" t="str">
        <f>"০০৩৮"</f>
        <v>০০৩৮</v>
      </c>
      <c r="H3187" s="75" t="s">
        <v>330</v>
      </c>
      <c r="I3187" s="75" t="s">
        <v>330</v>
      </c>
      <c r="J3187" s="5"/>
    </row>
    <row r="3188" spans="1:10" x14ac:dyDescent="0.25">
      <c r="A3188" s="39">
        <v>3187</v>
      </c>
      <c r="B3188" s="3" t="s">
        <v>4206</v>
      </c>
      <c r="C3188" s="75" t="s">
        <v>4207</v>
      </c>
      <c r="D3188" s="75" t="s">
        <v>1474</v>
      </c>
      <c r="E3188" s="75" t="str">
        <f>"০১৭৩৭৬৫২০৫৯"</f>
        <v>০১৭৩৭৬৫২০৫৯</v>
      </c>
      <c r="F3188" s="22" t="str">
        <f>"8119457813306"</f>
        <v>8119457813306</v>
      </c>
      <c r="G3188" s="75" t="str">
        <f>"০০৩৭"</f>
        <v>০০৩৭</v>
      </c>
      <c r="H3188" s="75" t="s">
        <v>319</v>
      </c>
      <c r="I3188" s="75" t="s">
        <v>319</v>
      </c>
      <c r="J3188" s="5"/>
    </row>
    <row r="3189" spans="1:10" x14ac:dyDescent="0.25">
      <c r="A3189" s="39">
        <v>3188</v>
      </c>
      <c r="B3189" s="3" t="s">
        <v>4208</v>
      </c>
      <c r="C3189" s="75" t="s">
        <v>4209</v>
      </c>
      <c r="D3189" s="75" t="s">
        <v>1474</v>
      </c>
      <c r="E3189" s="75" t="str">
        <f>"০"</f>
        <v>০</v>
      </c>
      <c r="F3189" s="22" t="str">
        <f>"8119457813325"</f>
        <v>8119457813325</v>
      </c>
      <c r="G3189" s="75" t="str">
        <f>"০০৩৬"</f>
        <v>০০৩৬</v>
      </c>
      <c r="H3189" s="75" t="s">
        <v>319</v>
      </c>
      <c r="I3189" s="75" t="s">
        <v>319</v>
      </c>
      <c r="J3189" s="5"/>
    </row>
    <row r="3190" spans="1:10" x14ac:dyDescent="0.25">
      <c r="A3190" s="39">
        <v>3189</v>
      </c>
      <c r="B3190" s="3" t="s">
        <v>4210</v>
      </c>
      <c r="C3190" s="75" t="s">
        <v>4211</v>
      </c>
      <c r="D3190" s="75" t="s">
        <v>1474</v>
      </c>
      <c r="E3190" s="75" t="str">
        <f>"০১৭৪০৬১৯০৪৭"</f>
        <v>০১৭৪০৬১৯০৪৭</v>
      </c>
      <c r="F3190" s="22" t="str">
        <f>"8119457815312"</f>
        <v>8119457815312</v>
      </c>
      <c r="G3190" s="75" t="str">
        <f>"০০৩৫"</f>
        <v>০০৩৫</v>
      </c>
      <c r="H3190" s="75" t="s">
        <v>330</v>
      </c>
      <c r="I3190" s="75" t="s">
        <v>330</v>
      </c>
      <c r="J3190" s="5"/>
    </row>
    <row r="3191" spans="1:10" x14ac:dyDescent="0.25">
      <c r="A3191" s="39">
        <v>3190</v>
      </c>
      <c r="B3191" s="3" t="s">
        <v>1828</v>
      </c>
      <c r="C3191" s="75" t="s">
        <v>4212</v>
      </c>
      <c r="D3191" s="75" t="s">
        <v>1474</v>
      </c>
      <c r="E3191" s="75" t="str">
        <f>"০১৭৭৪৬৩৬২৬৬"</f>
        <v>০১৭৭৪৬৩৬২৬৬</v>
      </c>
      <c r="F3191" s="22" t="str">
        <f>"8119457813348"</f>
        <v>8119457813348</v>
      </c>
      <c r="G3191" s="75" t="str">
        <f>"০০৩৪"</f>
        <v>০০৩৪</v>
      </c>
      <c r="H3191" s="75" t="s">
        <v>319</v>
      </c>
      <c r="I3191" s="75" t="s">
        <v>319</v>
      </c>
      <c r="J3191" s="5"/>
    </row>
    <row r="3192" spans="1:10" x14ac:dyDescent="0.25">
      <c r="A3192" s="39">
        <v>3191</v>
      </c>
      <c r="B3192" s="3" t="s">
        <v>3148</v>
      </c>
      <c r="C3192" s="75" t="s">
        <v>4213</v>
      </c>
      <c r="D3192" s="75" t="s">
        <v>1474</v>
      </c>
      <c r="E3192" s="75" t="str">
        <f>"০১৭৭৬৮৩৩৯৩২"</f>
        <v>০১৭৭৬৮৩৩৯৩২</v>
      </c>
      <c r="F3192" s="22" t="str">
        <f>"8119457813145"</f>
        <v>8119457813145</v>
      </c>
      <c r="G3192" s="75" t="str">
        <f>"০০৩৩"</f>
        <v>০০৩৩</v>
      </c>
      <c r="H3192" s="75" t="s">
        <v>329</v>
      </c>
      <c r="I3192" s="75" t="s">
        <v>329</v>
      </c>
      <c r="J3192" s="5"/>
    </row>
    <row r="3193" spans="1:10" x14ac:dyDescent="0.25">
      <c r="A3193" s="39">
        <v>3192</v>
      </c>
      <c r="B3193" s="3" t="s">
        <v>4214</v>
      </c>
      <c r="C3193" s="75" t="s">
        <v>4213</v>
      </c>
      <c r="D3193" s="75" t="s">
        <v>1474</v>
      </c>
      <c r="E3193" s="75" t="str">
        <f>"০১৭২২৭৭৮০০৫"</f>
        <v>০১৭২২৭৭৮০০৫</v>
      </c>
      <c r="F3193" s="22" t="str">
        <f>"8119457813150"</f>
        <v>8119457813150</v>
      </c>
      <c r="G3193" s="75" t="str">
        <f>"০০৩২"</f>
        <v>০০৩২</v>
      </c>
      <c r="H3193" s="75" t="s">
        <v>315</v>
      </c>
      <c r="I3193" s="75" t="s">
        <v>315</v>
      </c>
      <c r="J3193" s="5"/>
    </row>
    <row r="3194" spans="1:10" x14ac:dyDescent="0.25">
      <c r="A3194" s="39">
        <v>3193</v>
      </c>
      <c r="B3194" s="3" t="s">
        <v>4215</v>
      </c>
      <c r="C3194" s="75" t="s">
        <v>3997</v>
      </c>
      <c r="D3194" s="75" t="s">
        <v>1474</v>
      </c>
      <c r="E3194" s="75" t="str">
        <f>"০১৭৫১৮৭৮৪২২"</f>
        <v>০১৭৫১৮৭৮৪২২</v>
      </c>
      <c r="F3194" s="22" t="str">
        <f>"8119457814057"</f>
        <v>8119457814057</v>
      </c>
      <c r="G3194" s="75" t="str">
        <f>"০০৩১"</f>
        <v>০০৩১</v>
      </c>
      <c r="H3194" s="75" t="s">
        <v>322</v>
      </c>
      <c r="I3194" s="75" t="s">
        <v>322</v>
      </c>
      <c r="J3194" s="5"/>
    </row>
    <row r="3195" spans="1:10" x14ac:dyDescent="0.25">
      <c r="A3195" s="39">
        <v>3194</v>
      </c>
      <c r="B3195" s="3" t="s">
        <v>4216</v>
      </c>
      <c r="C3195" s="75" t="s">
        <v>4217</v>
      </c>
      <c r="D3195" s="75" t="s">
        <v>1474</v>
      </c>
      <c r="E3195" s="75" t="str">
        <f>"০১৭৮৩৪৫৫৮৯৭"</f>
        <v>০১৭৮৩৪৫৫৮৯৭</v>
      </c>
      <c r="F3195" s="22" t="str">
        <f>"8119457813103"</f>
        <v>8119457813103</v>
      </c>
      <c r="G3195" s="75" t="str">
        <f>"০০৩০"</f>
        <v>০০৩০</v>
      </c>
      <c r="H3195" s="75" t="s">
        <v>319</v>
      </c>
      <c r="I3195" s="75" t="s">
        <v>319</v>
      </c>
      <c r="J3195" s="5"/>
    </row>
    <row r="3196" spans="1:10" x14ac:dyDescent="0.25">
      <c r="A3196" s="39">
        <v>3195</v>
      </c>
      <c r="B3196" s="3" t="s">
        <v>4218</v>
      </c>
      <c r="C3196" s="75" t="s">
        <v>4219</v>
      </c>
      <c r="D3196" s="75" t="s">
        <v>1474</v>
      </c>
      <c r="E3196" s="75" t="str">
        <f>"০"</f>
        <v>০</v>
      </c>
      <c r="F3196" s="22" t="str">
        <f>"8119457813303"</f>
        <v>8119457813303</v>
      </c>
      <c r="G3196" s="75" t="str">
        <f>"০০২৯"</f>
        <v>০০২৯</v>
      </c>
      <c r="H3196" s="75" t="s">
        <v>319</v>
      </c>
      <c r="I3196" s="75" t="s">
        <v>319</v>
      </c>
      <c r="J3196" s="5"/>
    </row>
    <row r="3197" spans="1:10" x14ac:dyDescent="0.25">
      <c r="A3197" s="39">
        <v>3196</v>
      </c>
      <c r="B3197" s="3" t="s">
        <v>4220</v>
      </c>
      <c r="C3197" s="75" t="s">
        <v>4221</v>
      </c>
      <c r="D3197" s="75" t="s">
        <v>1474</v>
      </c>
      <c r="E3197" s="75" t="str">
        <f>"০১৭২৩১০৫৫২১"</f>
        <v>০১৭২৩১০৫৫২১</v>
      </c>
      <c r="F3197" s="22" t="str">
        <f>"8119457813131"</f>
        <v>8119457813131</v>
      </c>
      <c r="G3197" s="75" t="str">
        <f>"০০২৮"</f>
        <v>০০২৮</v>
      </c>
      <c r="H3197" s="75" t="s">
        <v>319</v>
      </c>
      <c r="I3197" s="75" t="s">
        <v>319</v>
      </c>
      <c r="J3197" s="5"/>
    </row>
    <row r="3198" spans="1:10" x14ac:dyDescent="0.25">
      <c r="A3198" s="39">
        <v>3197</v>
      </c>
      <c r="B3198" s="3" t="s">
        <v>4222</v>
      </c>
      <c r="C3198" s="75" t="s">
        <v>4223</v>
      </c>
      <c r="D3198" s="75" t="s">
        <v>1474</v>
      </c>
      <c r="E3198" s="75" t="str">
        <f>"০১৭৪৪৩৫৫২৮৬"</f>
        <v>০১৭৪৪৩৫৫২৮৬</v>
      </c>
      <c r="F3198" s="22" t="str">
        <f>"8119457813149"</f>
        <v>8119457813149</v>
      </c>
      <c r="G3198" s="75" t="str">
        <f>"০০২৭"</f>
        <v>০০২৭</v>
      </c>
      <c r="H3198" s="75" t="s">
        <v>456</v>
      </c>
      <c r="I3198" s="75" t="s">
        <v>456</v>
      </c>
      <c r="J3198" s="5"/>
    </row>
    <row r="3199" spans="1:10" x14ac:dyDescent="0.25">
      <c r="A3199" s="39">
        <v>3198</v>
      </c>
      <c r="B3199" s="3" t="s">
        <v>4223</v>
      </c>
      <c r="C3199" s="75" t="s">
        <v>5060</v>
      </c>
      <c r="D3199" s="75" t="s">
        <v>1474</v>
      </c>
      <c r="E3199" s="75" t="str">
        <f>"০১৭৪৪৩৫৫২৮৬"</f>
        <v>০১৭৪৪৩৫৫২৮৬</v>
      </c>
      <c r="F3199" s="22" t="str">
        <f>"8119457813148"</f>
        <v>8119457813148</v>
      </c>
      <c r="G3199" s="75" t="str">
        <f>"০০২৬"</f>
        <v>০০২৬</v>
      </c>
      <c r="H3199" s="75" t="s">
        <v>319</v>
      </c>
      <c r="I3199" s="75" t="s">
        <v>319</v>
      </c>
      <c r="J3199" s="5"/>
    </row>
    <row r="3200" spans="1:10" x14ac:dyDescent="0.25">
      <c r="A3200" s="39">
        <v>3199</v>
      </c>
      <c r="B3200" s="3" t="s">
        <v>4224</v>
      </c>
      <c r="C3200" s="75" t="s">
        <v>4225</v>
      </c>
      <c r="D3200" s="75" t="s">
        <v>1474</v>
      </c>
      <c r="E3200" s="75" t="str">
        <f>"০১৭৪২০২০৮৩৮"</f>
        <v>০১৭৪২০২০৮৩৮</v>
      </c>
      <c r="F3200" s="22" t="str">
        <f>"81194578122799"</f>
        <v>81194578122799</v>
      </c>
      <c r="G3200" s="75" t="str">
        <f>"০০২৫"</f>
        <v>০০২৫</v>
      </c>
      <c r="H3200" s="75" t="s">
        <v>319</v>
      </c>
      <c r="I3200" s="75" t="s">
        <v>319</v>
      </c>
      <c r="J3200" s="5"/>
    </row>
    <row r="3201" spans="1:10" x14ac:dyDescent="0.25">
      <c r="A3201" s="39">
        <v>3200</v>
      </c>
      <c r="B3201" s="3" t="s">
        <v>3697</v>
      </c>
      <c r="C3201" s="75" t="s">
        <v>1752</v>
      </c>
      <c r="D3201" s="75" t="s">
        <v>1474</v>
      </c>
      <c r="E3201" s="75" t="str">
        <f>"০"</f>
        <v>০</v>
      </c>
      <c r="F3201" s="22" t="str">
        <f>"8119457813033"</f>
        <v>8119457813033</v>
      </c>
      <c r="G3201" s="75" t="str">
        <f>"০০২৪"</f>
        <v>০০২৪</v>
      </c>
      <c r="H3201" s="75" t="s">
        <v>1394</v>
      </c>
      <c r="I3201" s="75" t="s">
        <v>1394</v>
      </c>
      <c r="J3201" s="5"/>
    </row>
    <row r="3202" spans="1:10" x14ac:dyDescent="0.25">
      <c r="A3202" s="39">
        <v>3201</v>
      </c>
      <c r="B3202" s="3" t="s">
        <v>4226</v>
      </c>
      <c r="C3202" s="75" t="s">
        <v>4227</v>
      </c>
      <c r="D3202" s="75" t="s">
        <v>1474</v>
      </c>
      <c r="E3202" s="75" t="str">
        <f>"০১৭৬১৪৫৪২৬৮"</f>
        <v>০১৭৬১৪৫৪২৬৮</v>
      </c>
      <c r="F3202" s="22" t="str">
        <f>"8119457812970"</f>
        <v>8119457812970</v>
      </c>
      <c r="G3202" s="75" t="str">
        <f>"০০২৩"</f>
        <v>০০২৩</v>
      </c>
      <c r="H3202" s="75" t="s">
        <v>319</v>
      </c>
      <c r="I3202" s="75" t="s">
        <v>319</v>
      </c>
      <c r="J3202" s="5"/>
    </row>
    <row r="3203" spans="1:10" x14ac:dyDescent="0.25">
      <c r="A3203" s="39">
        <v>3202</v>
      </c>
      <c r="B3203" s="3" t="s">
        <v>2473</v>
      </c>
      <c r="C3203" s="75" t="s">
        <v>4228</v>
      </c>
      <c r="D3203" s="75" t="s">
        <v>1474</v>
      </c>
      <c r="E3203" s="75" t="str">
        <f>"০১৭৩৬৬৩১২৩৪"</f>
        <v>০১৭৩৬৬৩১২৩৪</v>
      </c>
      <c r="F3203" s="22" t="str">
        <f>"8119457812972"</f>
        <v>8119457812972</v>
      </c>
      <c r="G3203" s="75" t="str">
        <f>"০০২২"</f>
        <v>০০২২</v>
      </c>
      <c r="H3203" s="75" t="s">
        <v>319</v>
      </c>
      <c r="I3203" s="75" t="s">
        <v>319</v>
      </c>
      <c r="J3203" s="5"/>
    </row>
    <row r="3204" spans="1:10" x14ac:dyDescent="0.25">
      <c r="A3204" s="39">
        <v>3203</v>
      </c>
      <c r="B3204" s="3" t="s">
        <v>4229</v>
      </c>
      <c r="C3204" s="75" t="s">
        <v>3800</v>
      </c>
      <c r="D3204" s="75" t="s">
        <v>1474</v>
      </c>
      <c r="E3204" s="75" t="str">
        <f>"০১৭৪৭৬৪৯১২১"</f>
        <v>০১৭৪৭৬৪৯১২১</v>
      </c>
      <c r="F3204" s="22" t="str">
        <f>"8119457812797"</f>
        <v>8119457812797</v>
      </c>
      <c r="G3204" s="75" t="str">
        <f>"০০২১"</f>
        <v>০০২১</v>
      </c>
      <c r="H3204" s="75" t="s">
        <v>456</v>
      </c>
      <c r="I3204" s="75" t="s">
        <v>456</v>
      </c>
      <c r="J3204" s="5"/>
    </row>
    <row r="3205" spans="1:10" x14ac:dyDescent="0.25">
      <c r="A3205" s="39">
        <v>3204</v>
      </c>
      <c r="B3205" s="3" t="s">
        <v>2403</v>
      </c>
      <c r="C3205" s="75" t="s">
        <v>2238</v>
      </c>
      <c r="D3205" s="75" t="s">
        <v>1474</v>
      </c>
      <c r="E3205" s="75" t="str">
        <f>"০১৭৪২৯৪৬২৯২"</f>
        <v>০১৭৪২৯৪৬২৯২</v>
      </c>
      <c r="F3205" s="22" t="str">
        <f>"8119457814053"</f>
        <v>8119457814053</v>
      </c>
      <c r="G3205" s="75" t="str">
        <f>"০০২০"</f>
        <v>০০২০</v>
      </c>
      <c r="H3205" s="75" t="s">
        <v>322</v>
      </c>
      <c r="I3205" s="75" t="s">
        <v>322</v>
      </c>
      <c r="J3205" s="5"/>
    </row>
    <row r="3206" spans="1:10" x14ac:dyDescent="0.25">
      <c r="A3206" s="39">
        <v>3205</v>
      </c>
      <c r="B3206" s="3" t="s">
        <v>3414</v>
      </c>
      <c r="C3206" s="75" t="s">
        <v>2237</v>
      </c>
      <c r="D3206" s="75" t="s">
        <v>1474</v>
      </c>
      <c r="E3206" s="75" t="str">
        <f>"০১৭৩৪৮২৮৫৬০"</f>
        <v>০১৭৩৪৮২৮৫৬০</v>
      </c>
      <c r="F3206" s="22" t="str">
        <f>"8119457813234"</f>
        <v>8119457813234</v>
      </c>
      <c r="G3206" s="75" t="str">
        <f>"০০১৯"</f>
        <v>০০১৯</v>
      </c>
      <c r="H3206" s="75" t="s">
        <v>1434</v>
      </c>
      <c r="I3206" s="75" t="s">
        <v>1434</v>
      </c>
      <c r="J3206" s="5"/>
    </row>
    <row r="3207" spans="1:10" x14ac:dyDescent="0.25">
      <c r="A3207" s="39">
        <v>3206</v>
      </c>
      <c r="B3207" s="3" t="s">
        <v>1628</v>
      </c>
      <c r="C3207" s="75" t="s">
        <v>4230</v>
      </c>
      <c r="D3207" s="75" t="s">
        <v>1474</v>
      </c>
      <c r="E3207" s="75" t="str">
        <f>"০১৭৪৫৫৫৭৬০৪"</f>
        <v>০১৭৪৫৫৫৭৬০৪</v>
      </c>
      <c r="F3207" s="22" t="str">
        <f>"8119457814853"</f>
        <v>8119457814853</v>
      </c>
      <c r="G3207" s="75" t="str">
        <f>"০০১৮"</f>
        <v>০০১৮</v>
      </c>
      <c r="H3207" s="75" t="s">
        <v>319</v>
      </c>
      <c r="I3207" s="75" t="s">
        <v>319</v>
      </c>
      <c r="J3207" s="5"/>
    </row>
    <row r="3208" spans="1:10" x14ac:dyDescent="0.25">
      <c r="A3208" s="39">
        <v>3207</v>
      </c>
      <c r="B3208" s="3" t="s">
        <v>4231</v>
      </c>
      <c r="C3208" s="75" t="s">
        <v>4232</v>
      </c>
      <c r="D3208" s="75" t="s">
        <v>1474</v>
      </c>
      <c r="E3208" s="75" t="str">
        <f>"০১৭৩১০৭৯১৩৭"</f>
        <v>০১৭৩১০৭৯১৩৭</v>
      </c>
      <c r="F3208" s="22" t="str">
        <f>"811945781"</f>
        <v>811945781</v>
      </c>
      <c r="G3208" s="75" t="str">
        <f>"০০১৭"</f>
        <v>০০১৭</v>
      </c>
      <c r="H3208" s="75" t="s">
        <v>371</v>
      </c>
      <c r="I3208" s="75" t="s">
        <v>371</v>
      </c>
      <c r="J3208" s="5"/>
    </row>
    <row r="3209" spans="1:10" x14ac:dyDescent="0.25">
      <c r="A3209" s="39">
        <v>3208</v>
      </c>
      <c r="B3209" s="3" t="s">
        <v>1734</v>
      </c>
      <c r="C3209" s="75" t="s">
        <v>1634</v>
      </c>
      <c r="D3209" s="75" t="s">
        <v>1474</v>
      </c>
      <c r="E3209" s="75" t="str">
        <f>"০১৭৪৬৮৫২৪৯০"</f>
        <v>০১৭৪৬৮৫২৪৯০</v>
      </c>
      <c r="F3209" s="22" t="str">
        <f>"8119457813342"</f>
        <v>8119457813342</v>
      </c>
      <c r="G3209" s="75" t="str">
        <f>"০০১৬"</f>
        <v>০০১৬</v>
      </c>
      <c r="H3209" s="75" t="s">
        <v>322</v>
      </c>
      <c r="I3209" s="75" t="s">
        <v>322</v>
      </c>
      <c r="J3209" s="5"/>
    </row>
    <row r="3210" spans="1:10" x14ac:dyDescent="0.25">
      <c r="A3210" s="39">
        <v>3209</v>
      </c>
      <c r="B3210" s="3" t="s">
        <v>4233</v>
      </c>
      <c r="C3210" s="75" t="s">
        <v>4234</v>
      </c>
      <c r="D3210" s="75" t="s">
        <v>1474</v>
      </c>
      <c r="E3210" s="75" t="str">
        <f>"০"</f>
        <v>০</v>
      </c>
      <c r="F3210" s="22" t="str">
        <f>"8119457813129"</f>
        <v>8119457813129</v>
      </c>
      <c r="G3210" s="75" t="str">
        <f>"০০১৫"</f>
        <v>০০১৫</v>
      </c>
      <c r="H3210" s="75" t="s">
        <v>371</v>
      </c>
      <c r="I3210" s="75" t="s">
        <v>371</v>
      </c>
      <c r="J3210" s="5"/>
    </row>
    <row r="3211" spans="1:10" x14ac:dyDescent="0.25">
      <c r="A3211" s="39">
        <v>3210</v>
      </c>
      <c r="B3211" s="3" t="s">
        <v>4235</v>
      </c>
      <c r="C3211" s="75" t="s">
        <v>1842</v>
      </c>
      <c r="D3211" s="75" t="s">
        <v>1474</v>
      </c>
      <c r="E3211" s="75" t="str">
        <f>"০১৭১৮৯০৯৪০৮"</f>
        <v>০১৭১৮৯০৯৪০৮</v>
      </c>
      <c r="F3211" s="22" t="str">
        <f>"8119457813314"</f>
        <v>8119457813314</v>
      </c>
      <c r="G3211" s="75" t="str">
        <f>"০০১৪"</f>
        <v>০০১৪</v>
      </c>
      <c r="H3211" s="75" t="s">
        <v>371</v>
      </c>
      <c r="I3211" s="75" t="s">
        <v>371</v>
      </c>
      <c r="J3211" s="5"/>
    </row>
    <row r="3212" spans="1:10" x14ac:dyDescent="0.25">
      <c r="A3212" s="39">
        <v>3211</v>
      </c>
      <c r="B3212" s="3" t="s">
        <v>4236</v>
      </c>
      <c r="C3212" s="75" t="s">
        <v>2498</v>
      </c>
      <c r="D3212" s="75" t="s">
        <v>1474</v>
      </c>
      <c r="E3212" s="75" t="str">
        <f>"০১৭১৪৫০১৮৯১"</f>
        <v>০১৭১৪৫০১৮৯১</v>
      </c>
      <c r="F3212" s="22" t="str">
        <f>"8119457818359"</f>
        <v>8119457818359</v>
      </c>
      <c r="G3212" s="75" t="str">
        <f>"০০১৩"</f>
        <v>০০১৩</v>
      </c>
      <c r="H3212" s="75" t="s">
        <v>322</v>
      </c>
      <c r="I3212" s="75" t="s">
        <v>322</v>
      </c>
      <c r="J3212" s="5"/>
    </row>
    <row r="3213" spans="1:10" x14ac:dyDescent="0.25">
      <c r="A3213" s="39">
        <v>3212</v>
      </c>
      <c r="B3213" s="3" t="s">
        <v>1741</v>
      </c>
      <c r="C3213" s="75" t="s">
        <v>4182</v>
      </c>
      <c r="D3213" s="75" t="s">
        <v>1474</v>
      </c>
      <c r="E3213" s="75" t="str">
        <f>"০১৭৩১৯২৬৬৪২"</f>
        <v>০১৭৩১৯২৬৬৪২</v>
      </c>
      <c r="F3213" s="22" t="str">
        <f>"8119457813215"</f>
        <v>8119457813215</v>
      </c>
      <c r="G3213" s="75" t="str">
        <f>"০০১২"</f>
        <v>০০১২</v>
      </c>
      <c r="H3213" s="75" t="s">
        <v>371</v>
      </c>
      <c r="I3213" s="75" t="s">
        <v>371</v>
      </c>
      <c r="J3213" s="5"/>
    </row>
    <row r="3214" spans="1:10" x14ac:dyDescent="0.25">
      <c r="A3214" s="39">
        <v>3213</v>
      </c>
      <c r="B3214" s="3" t="s">
        <v>4237</v>
      </c>
      <c r="C3214" s="75" t="s">
        <v>4182</v>
      </c>
      <c r="D3214" s="75" t="s">
        <v>1474</v>
      </c>
      <c r="E3214" s="75" t="str">
        <f>"০১৯২৯৪২৮৮৭৩"</f>
        <v>০১৯২৯৪২৮৮৭৩</v>
      </c>
      <c r="F3214" s="22" t="str">
        <f>"8119457813214"</f>
        <v>8119457813214</v>
      </c>
      <c r="G3214" s="75" t="str">
        <f>"০০১১"</f>
        <v>০০১১</v>
      </c>
      <c r="H3214" s="75" t="s">
        <v>364</v>
      </c>
      <c r="I3214" s="75" t="s">
        <v>364</v>
      </c>
      <c r="J3214" s="5"/>
    </row>
    <row r="3215" spans="1:10" x14ac:dyDescent="0.25">
      <c r="A3215" s="39">
        <v>3214</v>
      </c>
      <c r="B3215" s="3" t="s">
        <v>4238</v>
      </c>
      <c r="C3215" s="75" t="s">
        <v>4239</v>
      </c>
      <c r="D3215" s="75" t="s">
        <v>1474</v>
      </c>
      <c r="E3215" s="75" t="str">
        <f>"০১৭৪৬১৬৪৯৮৬"</f>
        <v>০১৭৪৬১৬৪৯৮৬</v>
      </c>
      <c r="F3215" s="22" t="str">
        <f>"8119457813191"</f>
        <v>8119457813191</v>
      </c>
      <c r="G3215" s="75" t="str">
        <f>"০০১০"</f>
        <v>০০১০</v>
      </c>
      <c r="H3215" s="75" t="s">
        <v>371</v>
      </c>
      <c r="I3215" s="75" t="s">
        <v>371</v>
      </c>
      <c r="J3215" s="5"/>
    </row>
    <row r="3216" spans="1:10" x14ac:dyDescent="0.25">
      <c r="A3216" s="39">
        <v>3215</v>
      </c>
      <c r="B3216" s="3" t="s">
        <v>2139</v>
      </c>
      <c r="C3216" s="75" t="s">
        <v>4087</v>
      </c>
      <c r="D3216" s="75" t="s">
        <v>1474</v>
      </c>
      <c r="E3216" s="75" t="str">
        <f>"০১৭৬০৮৯১৬৩১"</f>
        <v>০১৭৬০৮৯১৬৩১</v>
      </c>
      <c r="F3216" s="22" t="str">
        <f>"8119457000084"</f>
        <v>8119457000084</v>
      </c>
      <c r="G3216" s="75" t="str">
        <f>"০০০৯"</f>
        <v>০০০৯</v>
      </c>
      <c r="H3216" s="75" t="s">
        <v>371</v>
      </c>
      <c r="I3216" s="75" t="s">
        <v>371</v>
      </c>
      <c r="J3216" s="5"/>
    </row>
    <row r="3217" spans="1:12" x14ac:dyDescent="0.25">
      <c r="A3217" s="39">
        <v>3216</v>
      </c>
      <c r="B3217" s="3" t="s">
        <v>1745</v>
      </c>
      <c r="C3217" s="75" t="s">
        <v>4240</v>
      </c>
      <c r="D3217" s="75" t="s">
        <v>1474</v>
      </c>
      <c r="E3217" s="75" t="str">
        <f>"০"</f>
        <v>০</v>
      </c>
      <c r="F3217" s="22" t="str">
        <f>"8119457813133"</f>
        <v>8119457813133</v>
      </c>
      <c r="G3217" s="75" t="str">
        <f>"০০০৮"</f>
        <v>০০০৮</v>
      </c>
      <c r="H3217" s="75" t="s">
        <v>371</v>
      </c>
      <c r="I3217" s="75" t="s">
        <v>371</v>
      </c>
      <c r="J3217" s="5"/>
    </row>
    <row r="3218" spans="1:12" x14ac:dyDescent="0.25">
      <c r="A3218" s="39">
        <v>3217</v>
      </c>
      <c r="B3218" s="3" t="s">
        <v>4087</v>
      </c>
      <c r="C3218" s="75" t="s">
        <v>3492</v>
      </c>
      <c r="D3218" s="75" t="s">
        <v>1474</v>
      </c>
      <c r="E3218" s="75" t="str">
        <f>"০১৭২২৪১৯১৩০"</f>
        <v>০১৭২২৪১৯১৩০</v>
      </c>
      <c r="F3218" s="22" t="str">
        <f>"8119457813109"</f>
        <v>8119457813109</v>
      </c>
      <c r="G3218" s="75" t="str">
        <f>"০০০৭"</f>
        <v>০০০৭</v>
      </c>
      <c r="H3218" s="75" t="s">
        <v>322</v>
      </c>
      <c r="I3218" s="75" t="s">
        <v>322</v>
      </c>
      <c r="J3218" s="5"/>
    </row>
    <row r="3219" spans="1:12" x14ac:dyDescent="0.25">
      <c r="A3219" s="39">
        <v>3218</v>
      </c>
      <c r="B3219" s="3" t="s">
        <v>3495</v>
      </c>
      <c r="C3219" s="75" t="s">
        <v>4202</v>
      </c>
      <c r="D3219" s="75" t="s">
        <v>1474</v>
      </c>
      <c r="E3219" s="75" t="str">
        <f>"০১৯২৩৩৫৫৮০৯"</f>
        <v>০১৯২৩৩৫৫৮০৯</v>
      </c>
      <c r="F3219" s="22" t="str">
        <f>"8119457813159"</f>
        <v>8119457813159</v>
      </c>
      <c r="G3219" s="75" t="str">
        <f>"০০০৬"</f>
        <v>০০০৬</v>
      </c>
      <c r="H3219" s="75" t="s">
        <v>371</v>
      </c>
      <c r="I3219" s="75" t="s">
        <v>371</v>
      </c>
      <c r="J3219" s="5"/>
    </row>
    <row r="3220" spans="1:12" x14ac:dyDescent="0.25">
      <c r="A3220" s="39">
        <v>3219</v>
      </c>
      <c r="B3220" s="3" t="s">
        <v>3727</v>
      </c>
      <c r="C3220" s="75" t="s">
        <v>4241</v>
      </c>
      <c r="D3220" s="75" t="s">
        <v>1474</v>
      </c>
      <c r="E3220" s="75" t="str">
        <f>"০১৭০৬৭৩২৮৩৩"</f>
        <v>০১৭০৬৭৩২৮৩৩</v>
      </c>
      <c r="F3220" s="22" t="str">
        <f>"8119457815325"</f>
        <v>8119457815325</v>
      </c>
      <c r="G3220" s="75" t="str">
        <f>"০০০৫"</f>
        <v>০০০৫</v>
      </c>
      <c r="H3220" s="75" t="s">
        <v>329</v>
      </c>
      <c r="I3220" s="75" t="s">
        <v>329</v>
      </c>
      <c r="J3220" s="5"/>
    </row>
    <row r="3221" spans="1:12" x14ac:dyDescent="0.25">
      <c r="A3221" s="39">
        <v>3220</v>
      </c>
      <c r="B3221" s="3" t="s">
        <v>3055</v>
      </c>
      <c r="C3221" s="75" t="s">
        <v>4242</v>
      </c>
      <c r="D3221" s="75" t="s">
        <v>1474</v>
      </c>
      <c r="E3221" s="75" t="str">
        <f>"০১৭৩৭৭৭৮১৯৭"</f>
        <v>০১৭৩৭৭৭৮১৯৭</v>
      </c>
      <c r="F3221" s="22" t="str">
        <f>"8119457813260"</f>
        <v>8119457813260</v>
      </c>
      <c r="G3221" s="75" t="str">
        <f>"০০০৪"</f>
        <v>০০০৪</v>
      </c>
      <c r="H3221" s="75" t="s">
        <v>371</v>
      </c>
      <c r="I3221" s="75" t="s">
        <v>371</v>
      </c>
      <c r="J3221" s="5"/>
    </row>
    <row r="3222" spans="1:12" x14ac:dyDescent="0.25">
      <c r="A3222" s="39">
        <v>3221</v>
      </c>
      <c r="B3222" s="3" t="s">
        <v>4243</v>
      </c>
      <c r="C3222" s="75" t="s">
        <v>1842</v>
      </c>
      <c r="D3222" s="75" t="s">
        <v>1474</v>
      </c>
      <c r="E3222" s="75" t="str">
        <f>"০১৭২৪৬৬৮৩৭৭"</f>
        <v>০১৭২৪৬৬৮৩৭৭</v>
      </c>
      <c r="F3222" s="22" t="str">
        <f>"8119457813305"</f>
        <v>8119457813305</v>
      </c>
      <c r="G3222" s="75" t="str">
        <f>"০০০৩"</f>
        <v>০০০৩</v>
      </c>
      <c r="H3222" s="75" t="s">
        <v>371</v>
      </c>
      <c r="I3222" s="75" t="s">
        <v>371</v>
      </c>
      <c r="J3222" s="5"/>
    </row>
    <row r="3223" spans="1:12" x14ac:dyDescent="0.25">
      <c r="A3223" s="39">
        <v>3222</v>
      </c>
      <c r="B3223" s="3" t="s">
        <v>4244</v>
      </c>
      <c r="C3223" s="75" t="s">
        <v>1744</v>
      </c>
      <c r="D3223" s="75" t="s">
        <v>1474</v>
      </c>
      <c r="E3223" s="75" t="str">
        <f>"০"</f>
        <v>০</v>
      </c>
      <c r="F3223" s="22" t="str">
        <f>"8119457813183"</f>
        <v>8119457813183</v>
      </c>
      <c r="G3223" s="75" t="str">
        <f>"০০০২"</f>
        <v>০০০২</v>
      </c>
      <c r="H3223" s="75" t="s">
        <v>371</v>
      </c>
      <c r="I3223" s="75" t="s">
        <v>371</v>
      </c>
      <c r="J3223" s="5"/>
    </row>
    <row r="3224" spans="1:12" x14ac:dyDescent="0.25">
      <c r="A3224" s="39">
        <v>3223</v>
      </c>
      <c r="B3224" s="3" t="s">
        <v>1634</v>
      </c>
      <c r="C3224" s="75" t="s">
        <v>3555</v>
      </c>
      <c r="D3224" s="75" t="s">
        <v>1474</v>
      </c>
      <c r="E3224" s="75" t="str">
        <f>"০১৭৪৬৮৪২৪৯০"</f>
        <v>০১৭৪৬৮৪২৪৯০</v>
      </c>
      <c r="F3224" s="22" t="str">
        <f>"8119457813346"</f>
        <v>8119457813346</v>
      </c>
      <c r="G3224" s="75" t="str">
        <f>"০০০১"</f>
        <v>০০০১</v>
      </c>
      <c r="H3224" s="75" t="s">
        <v>371</v>
      </c>
      <c r="I3224" s="75" t="s">
        <v>371</v>
      </c>
      <c r="J3224" s="5"/>
    </row>
    <row r="3225" spans="1:12" ht="16.5" x14ac:dyDescent="0.3">
      <c r="A3225" s="39">
        <v>3224</v>
      </c>
      <c r="B3225" s="8" t="s">
        <v>4245</v>
      </c>
      <c r="C3225" s="7" t="s">
        <v>1494</v>
      </c>
      <c r="D3225" s="7" t="s">
        <v>1493</v>
      </c>
      <c r="E3225" s="7" t="s">
        <v>1492</v>
      </c>
      <c r="F3225" s="42">
        <v>8129413804338</v>
      </c>
      <c r="G3225" s="80">
        <v>4338</v>
      </c>
      <c r="H3225" s="83">
        <v>300</v>
      </c>
      <c r="I3225" s="83">
        <v>250</v>
      </c>
      <c r="J3225" s="6">
        <v>5.4</v>
      </c>
    </row>
    <row r="3226" spans="1:12" ht="16.5" x14ac:dyDescent="0.3">
      <c r="A3226" s="39">
        <v>3225</v>
      </c>
      <c r="B3226" s="8" t="s">
        <v>4246</v>
      </c>
      <c r="C3226" s="7" t="s">
        <v>4247</v>
      </c>
      <c r="D3226" s="7" t="s">
        <v>1360</v>
      </c>
      <c r="E3226" s="7" t="s">
        <v>1491</v>
      </c>
      <c r="F3226" s="42">
        <v>8119457830913</v>
      </c>
      <c r="G3226" s="80">
        <v>913</v>
      </c>
      <c r="H3226" s="83">
        <v>400</v>
      </c>
      <c r="I3226" s="83">
        <v>350</v>
      </c>
      <c r="J3226" s="6">
        <v>7.56</v>
      </c>
    </row>
    <row r="3227" spans="1:12" ht="16.5" x14ac:dyDescent="0.3">
      <c r="A3227" s="39">
        <v>3226</v>
      </c>
      <c r="B3227" s="8" t="s">
        <v>1957</v>
      </c>
      <c r="C3227" s="7" t="s">
        <v>4248</v>
      </c>
      <c r="D3227" s="7" t="s">
        <v>1384</v>
      </c>
      <c r="E3227" s="7" t="s">
        <v>1490</v>
      </c>
      <c r="F3227" s="42">
        <v>8119457830965</v>
      </c>
      <c r="G3227" s="80">
        <v>965</v>
      </c>
      <c r="H3227" s="83">
        <v>300</v>
      </c>
      <c r="I3227" s="83">
        <v>250</v>
      </c>
      <c r="J3227" s="6">
        <v>5.4</v>
      </c>
    </row>
    <row r="3228" spans="1:12" ht="16.5" x14ac:dyDescent="0.3">
      <c r="A3228" s="39">
        <v>3227</v>
      </c>
      <c r="B3228" s="8" t="s">
        <v>4249</v>
      </c>
      <c r="C3228" s="7" t="s">
        <v>4246</v>
      </c>
      <c r="D3228" s="7" t="s">
        <v>1360</v>
      </c>
      <c r="E3228" s="7" t="s">
        <v>1489</v>
      </c>
      <c r="F3228" s="42">
        <v>8119457830912</v>
      </c>
      <c r="G3228" s="80">
        <v>912</v>
      </c>
      <c r="H3228" s="83">
        <v>50</v>
      </c>
      <c r="I3228" s="83">
        <v>40</v>
      </c>
      <c r="J3228" s="9">
        <v>0.871</v>
      </c>
    </row>
    <row r="3229" spans="1:12" ht="16.5" x14ac:dyDescent="0.3">
      <c r="A3229" s="39">
        <v>3228</v>
      </c>
      <c r="B3229" s="8" t="s">
        <v>4250</v>
      </c>
      <c r="C3229" s="7" t="s">
        <v>1665</v>
      </c>
      <c r="D3229" s="7" t="s">
        <v>1384</v>
      </c>
      <c r="E3229" s="7" t="s">
        <v>1489</v>
      </c>
      <c r="F3229" s="42">
        <v>8119457713242</v>
      </c>
      <c r="G3229" s="80">
        <v>3242</v>
      </c>
      <c r="H3229" s="83">
        <v>33</v>
      </c>
      <c r="I3229" s="83">
        <v>20</v>
      </c>
      <c r="J3229" s="9">
        <v>0.432</v>
      </c>
    </row>
    <row r="3230" spans="1:12" ht="16.5" x14ac:dyDescent="0.3">
      <c r="A3230" s="39">
        <v>3229</v>
      </c>
      <c r="B3230" s="8" t="s">
        <v>4251</v>
      </c>
      <c r="C3230" s="7" t="s">
        <v>4252</v>
      </c>
      <c r="D3230" s="7" t="s">
        <v>1475</v>
      </c>
      <c r="E3230" s="7" t="s">
        <v>1488</v>
      </c>
      <c r="F3230" s="42">
        <v>8119457830479</v>
      </c>
      <c r="G3230" s="80">
        <v>479</v>
      </c>
      <c r="H3230" s="83">
        <v>250</v>
      </c>
      <c r="I3230" s="83">
        <v>200</v>
      </c>
      <c r="J3230" s="6">
        <v>4.3600000000000003</v>
      </c>
    </row>
    <row r="3231" spans="1:12" ht="16.5" x14ac:dyDescent="0.3">
      <c r="A3231" s="39">
        <v>3230</v>
      </c>
      <c r="B3231" s="8" t="s">
        <v>4253</v>
      </c>
      <c r="C3231" s="7" t="s">
        <v>4254</v>
      </c>
      <c r="D3231" s="7" t="s">
        <v>1380</v>
      </c>
      <c r="E3231" s="7" t="s">
        <v>1487</v>
      </c>
      <c r="F3231" s="42">
        <v>7354561685</v>
      </c>
      <c r="G3231" s="80">
        <v>1685</v>
      </c>
      <c r="H3231" s="83">
        <v>210</v>
      </c>
      <c r="I3231" s="83">
        <v>200</v>
      </c>
      <c r="J3231" s="6">
        <v>4.3600000000000003</v>
      </c>
      <c r="L3231" s="10"/>
    </row>
    <row r="3232" spans="1:12" ht="16.5" x14ac:dyDescent="0.3">
      <c r="A3232" s="39">
        <v>3231</v>
      </c>
      <c r="B3232" s="8" t="s">
        <v>4255</v>
      </c>
      <c r="C3232" s="7" t="s">
        <v>1634</v>
      </c>
      <c r="D3232" s="7" t="s">
        <v>1380</v>
      </c>
      <c r="E3232" s="7" t="s">
        <v>1486</v>
      </c>
      <c r="F3232" s="42">
        <v>1.99181194570004E+16</v>
      </c>
      <c r="G3232" s="80">
        <v>421</v>
      </c>
      <c r="H3232" s="83">
        <v>100</v>
      </c>
      <c r="I3232" s="83">
        <v>75</v>
      </c>
      <c r="J3232" s="6">
        <v>1.95</v>
      </c>
    </row>
    <row r="3233" spans="1:10" ht="16.5" x14ac:dyDescent="0.3">
      <c r="A3233" s="39">
        <v>3232</v>
      </c>
      <c r="B3233" s="8" t="s">
        <v>3336</v>
      </c>
      <c r="C3233" s="7" t="s">
        <v>4256</v>
      </c>
      <c r="D3233" s="7" t="s">
        <v>1475</v>
      </c>
      <c r="E3233" s="7" t="s">
        <v>1485</v>
      </c>
      <c r="F3233" s="42">
        <v>8119457830135</v>
      </c>
      <c r="G3233" s="80">
        <v>135</v>
      </c>
      <c r="H3233" s="83">
        <v>520</v>
      </c>
      <c r="I3233" s="83">
        <v>500</v>
      </c>
      <c r="J3233" s="6">
        <v>10.9</v>
      </c>
    </row>
    <row r="3234" spans="1:10" ht="16.5" x14ac:dyDescent="0.3">
      <c r="A3234" s="39">
        <v>3233</v>
      </c>
      <c r="B3234" s="8" t="s">
        <v>4257</v>
      </c>
      <c r="C3234" s="7" t="s">
        <v>1484</v>
      </c>
      <c r="D3234" s="7" t="s">
        <v>1475</v>
      </c>
      <c r="E3234" s="7" t="s">
        <v>1483</v>
      </c>
      <c r="F3234" s="42">
        <v>8119457830383</v>
      </c>
      <c r="G3234" s="80">
        <v>383</v>
      </c>
      <c r="H3234" s="83">
        <v>410</v>
      </c>
      <c r="I3234" s="83">
        <v>400</v>
      </c>
      <c r="J3234" s="6">
        <v>8.7200000000000006</v>
      </c>
    </row>
    <row r="3235" spans="1:10" ht="16.5" x14ac:dyDescent="0.3">
      <c r="A3235" s="39">
        <v>3234</v>
      </c>
      <c r="B3235" s="8" t="s">
        <v>4258</v>
      </c>
      <c r="C3235" s="7" t="s">
        <v>4259</v>
      </c>
      <c r="D3235" s="7" t="s">
        <v>1475</v>
      </c>
      <c r="E3235" s="7" t="s">
        <v>1482</v>
      </c>
      <c r="F3235" s="42">
        <v>8119457830400</v>
      </c>
      <c r="G3235" s="80">
        <v>400</v>
      </c>
      <c r="H3235" s="83">
        <v>350</v>
      </c>
      <c r="I3235" s="83">
        <v>300</v>
      </c>
      <c r="J3235" s="6">
        <v>6.54</v>
      </c>
    </row>
    <row r="3236" spans="1:10" ht="16.5" x14ac:dyDescent="0.3">
      <c r="A3236" s="39">
        <v>3235</v>
      </c>
      <c r="B3236" s="8" t="s">
        <v>4260</v>
      </c>
      <c r="C3236" s="69" t="s">
        <v>1481</v>
      </c>
      <c r="D3236" s="69" t="s">
        <v>1475</v>
      </c>
      <c r="E3236" s="69" t="s">
        <v>1480</v>
      </c>
      <c r="F3236" s="70">
        <v>8119457830366</v>
      </c>
      <c r="G3236" s="81">
        <v>366</v>
      </c>
      <c r="H3236" s="84">
        <v>350</v>
      </c>
      <c r="I3236" s="84">
        <v>300</v>
      </c>
      <c r="J3236" s="71">
        <v>6.54</v>
      </c>
    </row>
    <row r="3237" spans="1:10" s="19" customFormat="1" ht="16.5" x14ac:dyDescent="0.25">
      <c r="A3237" s="39">
        <v>3236</v>
      </c>
      <c r="B3237" s="40" t="s">
        <v>4265</v>
      </c>
      <c r="C3237" s="79" t="s">
        <v>4266</v>
      </c>
      <c r="D3237" s="79" t="s">
        <v>1360</v>
      </c>
      <c r="E3237" s="73">
        <v>1712684324</v>
      </c>
      <c r="F3237" s="43">
        <v>8119457819457</v>
      </c>
      <c r="G3237" s="82">
        <v>1800</v>
      </c>
      <c r="H3237" s="82">
        <v>533</v>
      </c>
      <c r="I3237" s="85"/>
      <c r="J3237" s="72"/>
    </row>
    <row r="3238" spans="1:10" s="19" customFormat="1" ht="16.5" x14ac:dyDescent="0.25">
      <c r="A3238" s="39">
        <v>3237</v>
      </c>
      <c r="B3238" s="40" t="s">
        <v>4267</v>
      </c>
      <c r="C3238" s="79" t="s">
        <v>4268</v>
      </c>
      <c r="D3238" s="79" t="s">
        <v>1360</v>
      </c>
      <c r="E3238" s="73">
        <v>1716117389</v>
      </c>
      <c r="F3238" s="43">
        <v>8119457713399</v>
      </c>
      <c r="G3238" s="82">
        <v>1801</v>
      </c>
      <c r="H3238" s="82">
        <v>233</v>
      </c>
      <c r="I3238" s="85"/>
      <c r="J3238" s="72"/>
    </row>
    <row r="3239" spans="1:10" s="19" customFormat="1" x14ac:dyDescent="0.25">
      <c r="A3239" s="39">
        <v>3238</v>
      </c>
      <c r="B3239" s="40" t="s">
        <v>4269</v>
      </c>
      <c r="C3239" s="79" t="s">
        <v>4270</v>
      </c>
      <c r="D3239" s="79" t="s">
        <v>1360</v>
      </c>
      <c r="E3239" s="73">
        <v>1312103844</v>
      </c>
      <c r="F3239" s="43">
        <v>8119457713397</v>
      </c>
      <c r="G3239" s="82">
        <v>1802</v>
      </c>
      <c r="H3239" s="82">
        <v>333</v>
      </c>
      <c r="I3239" s="41">
        <v>30</v>
      </c>
      <c r="J3239" s="41"/>
    </row>
    <row r="3240" spans="1:10" s="19" customFormat="1" ht="18" customHeight="1" x14ac:dyDescent="0.25">
      <c r="A3240" s="39">
        <v>3239</v>
      </c>
      <c r="B3240" s="40" t="s">
        <v>4271</v>
      </c>
      <c r="C3240" s="79" t="s">
        <v>4272</v>
      </c>
      <c r="D3240" s="79" t="s">
        <v>1380</v>
      </c>
      <c r="E3240" s="73">
        <v>1734532606</v>
      </c>
      <c r="F3240" s="43">
        <v>8119457819573</v>
      </c>
      <c r="G3240" s="82">
        <v>1803</v>
      </c>
      <c r="H3240" s="82">
        <v>433</v>
      </c>
      <c r="I3240" s="41">
        <v>30</v>
      </c>
      <c r="J3240" s="41"/>
    </row>
    <row r="3241" spans="1:10" s="19" customFormat="1" x14ac:dyDescent="0.25">
      <c r="A3241" s="39">
        <v>3240</v>
      </c>
      <c r="B3241" s="40" t="s">
        <v>4273</v>
      </c>
      <c r="C3241" s="79" t="s">
        <v>4274</v>
      </c>
      <c r="D3241" s="79" t="s">
        <v>1360</v>
      </c>
      <c r="E3241" s="73">
        <v>1773205089</v>
      </c>
      <c r="F3241" s="43">
        <v>8119457713458</v>
      </c>
      <c r="G3241" s="82">
        <v>1804</v>
      </c>
      <c r="H3241" s="82">
        <v>266</v>
      </c>
      <c r="I3241" s="41">
        <v>30</v>
      </c>
      <c r="J3241" s="41"/>
    </row>
    <row r="3242" spans="1:10" s="19" customFormat="1" x14ac:dyDescent="0.25">
      <c r="A3242" s="39">
        <v>3241</v>
      </c>
      <c r="B3242" s="40" t="s">
        <v>4275</v>
      </c>
      <c r="C3242" s="79" t="s">
        <v>4276</v>
      </c>
      <c r="D3242" s="79" t="s">
        <v>1360</v>
      </c>
      <c r="E3242" s="73">
        <v>1796467223</v>
      </c>
      <c r="F3242" s="43">
        <v>8119457713182</v>
      </c>
      <c r="G3242" s="82">
        <v>1805</v>
      </c>
      <c r="H3242" s="82">
        <v>233</v>
      </c>
      <c r="I3242" s="41">
        <v>20</v>
      </c>
      <c r="J3242" s="41"/>
    </row>
    <row r="3243" spans="1:10" s="19" customFormat="1" x14ac:dyDescent="0.25">
      <c r="A3243" s="39">
        <v>3242</v>
      </c>
      <c r="B3243" s="40" t="s">
        <v>4277</v>
      </c>
      <c r="C3243" s="79" t="s">
        <v>4278</v>
      </c>
      <c r="D3243" s="79" t="s">
        <v>1360</v>
      </c>
      <c r="E3243" s="73">
        <v>1737327314</v>
      </c>
      <c r="F3243" s="43">
        <v>8119457713442</v>
      </c>
      <c r="G3243" s="82">
        <v>1806</v>
      </c>
      <c r="H3243" s="82">
        <v>51</v>
      </c>
      <c r="I3243" s="41">
        <v>60</v>
      </c>
      <c r="J3243" s="41"/>
    </row>
    <row r="3244" spans="1:10" s="19" customFormat="1" x14ac:dyDescent="0.25">
      <c r="A3244" s="39">
        <v>3243</v>
      </c>
      <c r="B3244" s="40" t="s">
        <v>4279</v>
      </c>
      <c r="C3244" s="79" t="s">
        <v>4280</v>
      </c>
      <c r="D3244" s="79" t="s">
        <v>1363</v>
      </c>
      <c r="E3244" s="73">
        <v>1737311318</v>
      </c>
      <c r="F3244" s="43">
        <v>5653408344</v>
      </c>
      <c r="G3244" s="82">
        <v>1806</v>
      </c>
      <c r="H3244" s="82">
        <v>66</v>
      </c>
      <c r="I3244" s="41">
        <v>80</v>
      </c>
      <c r="J3244" s="41"/>
    </row>
    <row r="3245" spans="1:10" s="19" customFormat="1" x14ac:dyDescent="0.25">
      <c r="A3245" s="39">
        <v>3244</v>
      </c>
      <c r="B3245" s="40" t="s">
        <v>4281</v>
      </c>
      <c r="C3245" s="79" t="s">
        <v>4282</v>
      </c>
      <c r="D3245" s="79" t="s">
        <v>1370</v>
      </c>
      <c r="E3245" s="73">
        <v>1714603395</v>
      </c>
      <c r="F3245" s="43">
        <v>8119457813555</v>
      </c>
      <c r="G3245" s="82">
        <v>1807</v>
      </c>
      <c r="H3245" s="82">
        <v>726</v>
      </c>
      <c r="I3245" s="41">
        <v>90</v>
      </c>
      <c r="J3245" s="41"/>
    </row>
    <row r="3246" spans="1:10" s="19" customFormat="1" x14ac:dyDescent="0.25">
      <c r="A3246" s="39">
        <v>3245</v>
      </c>
      <c r="B3246" s="40" t="s">
        <v>4283</v>
      </c>
      <c r="C3246" s="79" t="s">
        <v>4284</v>
      </c>
      <c r="D3246" s="79" t="s">
        <v>1474</v>
      </c>
      <c r="E3246" s="73">
        <v>1766084931</v>
      </c>
      <c r="F3246" s="43">
        <v>8119457813507</v>
      </c>
      <c r="G3246" s="82">
        <v>1808</v>
      </c>
      <c r="H3246" s="82">
        <v>660</v>
      </c>
      <c r="I3246" s="41">
        <v>40</v>
      </c>
      <c r="J3246" s="41"/>
    </row>
    <row r="3247" spans="1:10" s="19" customFormat="1" x14ac:dyDescent="0.25">
      <c r="A3247" s="39">
        <v>3246</v>
      </c>
      <c r="B3247" s="40" t="s">
        <v>4285</v>
      </c>
      <c r="C3247" s="79" t="s">
        <v>4286</v>
      </c>
      <c r="D3247" s="79" t="s">
        <v>1474</v>
      </c>
      <c r="E3247" s="73">
        <v>1712481182</v>
      </c>
      <c r="F3247" s="43">
        <v>8119457813472</v>
      </c>
      <c r="G3247" s="82">
        <v>1809</v>
      </c>
      <c r="H3247" s="82">
        <v>330</v>
      </c>
      <c r="I3247" s="41">
        <v>800</v>
      </c>
      <c r="J3247" s="41"/>
    </row>
    <row r="3248" spans="1:10" s="19" customFormat="1" x14ac:dyDescent="0.25">
      <c r="A3248" s="39">
        <v>3247</v>
      </c>
      <c r="B3248" s="40" t="s">
        <v>4287</v>
      </c>
      <c r="C3248" s="79" t="s">
        <v>4288</v>
      </c>
      <c r="D3248" s="79" t="s">
        <v>1474</v>
      </c>
      <c r="E3248" s="73">
        <v>1712481182</v>
      </c>
      <c r="F3248" s="43">
        <v>8119457000033</v>
      </c>
      <c r="G3248" s="82">
        <v>1810</v>
      </c>
      <c r="H3248" s="82">
        <v>200</v>
      </c>
      <c r="I3248" s="41">
        <v>180</v>
      </c>
      <c r="J3248" s="41"/>
    </row>
    <row r="3249" spans="1:10" s="19" customFormat="1" x14ac:dyDescent="0.25">
      <c r="A3249" s="39">
        <v>3248</v>
      </c>
      <c r="B3249" s="40" t="s">
        <v>4289</v>
      </c>
      <c r="C3249" s="79" t="s">
        <v>4290</v>
      </c>
      <c r="D3249" s="79" t="s">
        <v>1474</v>
      </c>
      <c r="E3249" s="73">
        <v>1720850134</v>
      </c>
      <c r="F3249" s="43">
        <v>8119457813509</v>
      </c>
      <c r="G3249" s="82">
        <v>1811</v>
      </c>
      <c r="H3249" s="79"/>
      <c r="I3249" s="41">
        <v>90</v>
      </c>
      <c r="J3249" s="41"/>
    </row>
    <row r="3250" spans="1:10" s="19" customFormat="1" x14ac:dyDescent="0.25">
      <c r="A3250" s="39">
        <v>3249</v>
      </c>
      <c r="B3250" s="40" t="s">
        <v>4293</v>
      </c>
      <c r="C3250" s="79" t="s">
        <v>4294</v>
      </c>
      <c r="D3250" s="79" t="s">
        <v>1363</v>
      </c>
      <c r="E3250" s="73">
        <v>1724667801</v>
      </c>
      <c r="F3250" s="43">
        <v>8119457832260</v>
      </c>
      <c r="G3250" s="82">
        <v>1812</v>
      </c>
      <c r="H3250" s="82">
        <v>160</v>
      </c>
      <c r="I3250" s="41"/>
      <c r="J3250" s="41"/>
    </row>
    <row r="3251" spans="1:10" ht="17.25" x14ac:dyDescent="0.25">
      <c r="A3251" s="39">
        <v>3250</v>
      </c>
      <c r="B3251" s="63" t="s">
        <v>1499</v>
      </c>
      <c r="C3251" s="63" t="s">
        <v>1500</v>
      </c>
      <c r="D3251" s="63" t="s">
        <v>1495</v>
      </c>
      <c r="E3251" s="63">
        <v>1832751638</v>
      </c>
      <c r="F3251" s="64">
        <v>3756683492</v>
      </c>
      <c r="G3251" s="63">
        <v>306162083</v>
      </c>
      <c r="H3251" s="15">
        <v>66</v>
      </c>
      <c r="I3251" s="15">
        <v>66</v>
      </c>
      <c r="J3251" s="15"/>
    </row>
    <row r="3252" spans="1:10" ht="17.25" x14ac:dyDescent="0.25">
      <c r="A3252" s="39">
        <v>3251</v>
      </c>
      <c r="B3252" s="63" t="s">
        <v>1496</v>
      </c>
      <c r="C3252" s="63" t="s">
        <v>1498</v>
      </c>
      <c r="D3252" s="63" t="s">
        <v>1495</v>
      </c>
      <c r="E3252" s="63">
        <v>1725537675</v>
      </c>
      <c r="F3252" s="64">
        <v>1.99281194570001E+16</v>
      </c>
      <c r="G3252" s="63">
        <v>306162084</v>
      </c>
      <c r="H3252" s="15">
        <v>50</v>
      </c>
      <c r="I3252" s="15">
        <v>45</v>
      </c>
      <c r="J3252" s="15"/>
    </row>
    <row r="3253" spans="1:10" ht="17.25" x14ac:dyDescent="0.25">
      <c r="A3253" s="39">
        <v>3252</v>
      </c>
      <c r="B3253" s="63" t="s">
        <v>1501</v>
      </c>
      <c r="C3253" s="63" t="s">
        <v>1502</v>
      </c>
      <c r="D3253" s="63" t="s">
        <v>1503</v>
      </c>
      <c r="E3253" s="63">
        <v>1732366187</v>
      </c>
      <c r="F3253" s="64">
        <v>8119457818806</v>
      </c>
      <c r="G3253" s="63">
        <v>306162085</v>
      </c>
      <c r="H3253" s="15">
        <v>100</v>
      </c>
      <c r="I3253" s="15">
        <v>90</v>
      </c>
      <c r="J3253" s="15"/>
    </row>
    <row r="3254" spans="1:10" ht="17.25" x14ac:dyDescent="0.25">
      <c r="A3254" s="39">
        <v>3253</v>
      </c>
      <c r="B3254" s="63" t="s">
        <v>1504</v>
      </c>
      <c r="C3254" s="63" t="s">
        <v>1505</v>
      </c>
      <c r="D3254" s="63" t="s">
        <v>1506</v>
      </c>
      <c r="E3254" s="63">
        <v>1748731781</v>
      </c>
      <c r="F3254" s="64">
        <v>8119457816897</v>
      </c>
      <c r="G3254" s="63">
        <v>306160252</v>
      </c>
      <c r="H3254" s="15">
        <v>33</v>
      </c>
      <c r="I3254" s="15">
        <v>33</v>
      </c>
      <c r="J3254" s="15"/>
    </row>
    <row r="3255" spans="1:10" ht="17.25" x14ac:dyDescent="0.25">
      <c r="A3255" s="39">
        <v>3254</v>
      </c>
      <c r="B3255" s="63" t="s">
        <v>1507</v>
      </c>
      <c r="C3255" s="63" t="s">
        <v>1508</v>
      </c>
      <c r="D3255" s="63" t="s">
        <v>1509</v>
      </c>
      <c r="E3255" s="63">
        <v>1739616381</v>
      </c>
      <c r="F3255" s="64">
        <v>1.99281194570001E+16</v>
      </c>
      <c r="G3255" s="63">
        <v>306161099</v>
      </c>
      <c r="H3255" s="15">
        <v>100</v>
      </c>
      <c r="I3255" s="15">
        <v>100</v>
      </c>
      <c r="J3255" s="15"/>
    </row>
    <row r="3256" spans="1:10" ht="17.25" x14ac:dyDescent="0.25">
      <c r="A3256" s="39">
        <v>3255</v>
      </c>
      <c r="B3256" s="63" t="s">
        <v>1508</v>
      </c>
      <c r="C3256" s="63" t="s">
        <v>1510</v>
      </c>
      <c r="D3256" s="63" t="s">
        <v>1509</v>
      </c>
      <c r="E3256" s="63">
        <v>1739616381</v>
      </c>
      <c r="F3256" s="64">
        <v>1.9948119457E+16</v>
      </c>
      <c r="G3256" s="63">
        <v>306161100</v>
      </c>
      <c r="H3256" s="15">
        <v>133</v>
      </c>
      <c r="I3256" s="15">
        <v>120</v>
      </c>
      <c r="J3256" s="15"/>
    </row>
    <row r="3257" spans="1:10" ht="17.25" x14ac:dyDescent="0.25">
      <c r="A3257" s="39">
        <v>3256</v>
      </c>
      <c r="B3257" s="63" t="s">
        <v>1510</v>
      </c>
      <c r="C3257" s="63" t="s">
        <v>1511</v>
      </c>
      <c r="D3257" s="63" t="s">
        <v>1509</v>
      </c>
      <c r="E3257" s="63">
        <v>1739616381</v>
      </c>
      <c r="F3257" s="64">
        <v>8119457816520</v>
      </c>
      <c r="G3257" s="63">
        <v>306161101</v>
      </c>
      <c r="H3257" s="15">
        <v>100</v>
      </c>
      <c r="I3257" s="15">
        <v>80</v>
      </c>
      <c r="J3257" s="15"/>
    </row>
    <row r="3258" spans="1:10" ht="17.25" x14ac:dyDescent="0.25">
      <c r="A3258" s="39">
        <v>3257</v>
      </c>
      <c r="B3258" s="63" t="s">
        <v>1512</v>
      </c>
      <c r="C3258" s="63" t="s">
        <v>1513</v>
      </c>
      <c r="D3258" s="63" t="s">
        <v>1514</v>
      </c>
      <c r="E3258" s="63">
        <v>1780721715</v>
      </c>
      <c r="F3258" s="64">
        <v>8119457815525</v>
      </c>
      <c r="G3258" s="63">
        <v>306161104</v>
      </c>
      <c r="H3258" s="15">
        <v>16</v>
      </c>
      <c r="I3258" s="15">
        <v>16</v>
      </c>
      <c r="J3258" s="15"/>
    </row>
    <row r="3259" spans="1:10" ht="17.25" x14ac:dyDescent="0.25">
      <c r="A3259" s="39">
        <v>3258</v>
      </c>
      <c r="B3259" s="63" t="s">
        <v>1515</v>
      </c>
      <c r="C3259" s="63" t="s">
        <v>1516</v>
      </c>
      <c r="D3259" s="63" t="s">
        <v>1509</v>
      </c>
      <c r="E3259" s="63">
        <v>1739616381</v>
      </c>
      <c r="F3259" s="64">
        <v>8119457816521</v>
      </c>
      <c r="G3259" s="63">
        <v>306161105</v>
      </c>
      <c r="H3259" s="15">
        <v>100</v>
      </c>
      <c r="I3259" s="15">
        <v>90</v>
      </c>
      <c r="J3259" s="15"/>
    </row>
    <row r="3260" spans="1:10" ht="17.25" x14ac:dyDescent="0.25">
      <c r="A3260" s="39">
        <v>3259</v>
      </c>
      <c r="B3260" s="63" t="s">
        <v>1517</v>
      </c>
      <c r="C3260" s="63" t="s">
        <v>1497</v>
      </c>
      <c r="D3260" s="63" t="s">
        <v>1509</v>
      </c>
      <c r="E3260" s="63">
        <v>1718214122</v>
      </c>
      <c r="F3260" s="64">
        <v>8119457816421</v>
      </c>
      <c r="G3260" s="63">
        <v>306161106</v>
      </c>
      <c r="H3260" s="15">
        <v>166</v>
      </c>
      <c r="I3260" s="15">
        <v>150</v>
      </c>
      <c r="J3260" s="15"/>
    </row>
    <row r="3261" spans="1:10" ht="17.25" x14ac:dyDescent="0.25">
      <c r="A3261" s="39">
        <v>3260</v>
      </c>
      <c r="B3261" s="63" t="s">
        <v>1518</v>
      </c>
      <c r="C3261" s="63" t="s">
        <v>1519</v>
      </c>
      <c r="D3261" s="63" t="s">
        <v>1520</v>
      </c>
      <c r="E3261" s="63">
        <v>1718823241</v>
      </c>
      <c r="F3261" s="64">
        <v>8119457815097</v>
      </c>
      <c r="G3261" s="63">
        <v>306161107</v>
      </c>
      <c r="H3261" s="15">
        <v>216</v>
      </c>
      <c r="I3261" s="15">
        <v>200</v>
      </c>
      <c r="J3261" s="15"/>
    </row>
    <row r="3262" spans="1:10" ht="17.25" x14ac:dyDescent="0.25">
      <c r="A3262" s="39">
        <v>3261</v>
      </c>
      <c r="B3262" s="66" t="s">
        <v>1521</v>
      </c>
      <c r="C3262" s="63" t="s">
        <v>1522</v>
      </c>
      <c r="D3262" s="63" t="s">
        <v>1503</v>
      </c>
      <c r="E3262" s="65">
        <v>1732366187</v>
      </c>
      <c r="F3262" s="64">
        <v>8119457818805</v>
      </c>
      <c r="G3262" s="65">
        <v>306162086</v>
      </c>
      <c r="H3262" s="16">
        <v>300</v>
      </c>
      <c r="I3262" s="16">
        <v>250</v>
      </c>
      <c r="J3262" s="15"/>
    </row>
    <row r="3263" spans="1:10" ht="17.25" x14ac:dyDescent="0.25">
      <c r="A3263" s="39">
        <v>3262</v>
      </c>
      <c r="B3263" s="66" t="s">
        <v>1523</v>
      </c>
      <c r="C3263" s="63" t="s">
        <v>1524</v>
      </c>
      <c r="D3263" s="63" t="s">
        <v>1495</v>
      </c>
      <c r="E3263" s="65">
        <v>1728394404</v>
      </c>
      <c r="F3263" s="64">
        <v>8119457819338</v>
      </c>
      <c r="G3263" s="65">
        <v>306162087</v>
      </c>
      <c r="H3263" s="16">
        <v>700</v>
      </c>
      <c r="I3263" s="16">
        <v>680</v>
      </c>
      <c r="J3263" s="15"/>
    </row>
    <row r="3264" spans="1:10" ht="17.25" x14ac:dyDescent="0.25">
      <c r="A3264" s="39">
        <v>3263</v>
      </c>
      <c r="B3264" s="66" t="s">
        <v>1525</v>
      </c>
      <c r="C3264" s="63" t="s">
        <v>1526</v>
      </c>
      <c r="D3264" s="63" t="s">
        <v>1495</v>
      </c>
      <c r="E3264" s="63"/>
      <c r="F3264" s="64">
        <v>8119457818230</v>
      </c>
      <c r="G3264" s="65">
        <v>306162088</v>
      </c>
      <c r="H3264" s="17">
        <v>66</v>
      </c>
      <c r="I3264" s="16">
        <v>55</v>
      </c>
      <c r="J3264" s="15"/>
    </row>
    <row r="3265" spans="1:12" ht="17.25" x14ac:dyDescent="0.25">
      <c r="A3265" s="39">
        <v>3264</v>
      </c>
      <c r="B3265" s="66" t="s">
        <v>1527</v>
      </c>
      <c r="C3265" s="63" t="s">
        <v>1528</v>
      </c>
      <c r="D3265" s="63" t="s">
        <v>1495</v>
      </c>
      <c r="E3265" s="63"/>
      <c r="F3265" s="64">
        <v>8119457818266</v>
      </c>
      <c r="G3265" s="65">
        <v>306162089</v>
      </c>
      <c r="H3265" s="16">
        <v>100</v>
      </c>
      <c r="I3265" s="16">
        <v>80</v>
      </c>
      <c r="J3265" s="15"/>
    </row>
    <row r="3266" spans="1:12" x14ac:dyDescent="0.25">
      <c r="A3266" s="10"/>
      <c r="B3266" s="10"/>
      <c r="C3266" s="10"/>
      <c r="D3266" s="10"/>
      <c r="E3266" s="10"/>
      <c r="F3266" s="25"/>
      <c r="G3266" s="10"/>
      <c r="H3266" s="10"/>
      <c r="I3266" s="10"/>
      <c r="J3266" s="10"/>
    </row>
    <row r="3267" spans="1:12" x14ac:dyDescent="0.25">
      <c r="A3267" s="10"/>
      <c r="F3267" s="26"/>
      <c r="J3267" s="67"/>
      <c r="K3267" s="67"/>
      <c r="L3267" s="67"/>
    </row>
    <row r="3268" spans="1:12" x14ac:dyDescent="0.25">
      <c r="A3268" s="10"/>
      <c r="F3268" s="26"/>
      <c r="J3268" s="67"/>
      <c r="K3268" s="67"/>
      <c r="L3268" s="67"/>
    </row>
    <row r="3269" spans="1:12" x14ac:dyDescent="0.25">
      <c r="A3269" s="10"/>
      <c r="F3269" s="26"/>
      <c r="J3269" s="67"/>
      <c r="K3269" s="67"/>
      <c r="L3269" s="67"/>
    </row>
    <row r="3270" spans="1:12" x14ac:dyDescent="0.25">
      <c r="A3270" s="10"/>
      <c r="F3270" s="26"/>
      <c r="J3270" s="68"/>
      <c r="K3270" s="68"/>
      <c r="L3270" s="68"/>
    </row>
    <row r="3271" spans="1:12" x14ac:dyDescent="0.25">
      <c r="A3271" s="10"/>
      <c r="F3271" s="26"/>
      <c r="J3271" s="68"/>
      <c r="K3271" s="68"/>
      <c r="L3271" s="68"/>
    </row>
    <row r="3272" spans="1:12" x14ac:dyDescent="0.25">
      <c r="A3272" s="10"/>
      <c r="F3272" s="26"/>
      <c r="J3272" s="68"/>
      <c r="K3272" s="68"/>
      <c r="L3272" s="68"/>
    </row>
    <row r="3273" spans="1:12" x14ac:dyDescent="0.25">
      <c r="A3273" s="10"/>
      <c r="F3273" s="26"/>
      <c r="J3273" s="68"/>
      <c r="K3273" s="68"/>
      <c r="L3273" s="68"/>
    </row>
    <row r="3274" spans="1:12" x14ac:dyDescent="0.25">
      <c r="A3274" s="10"/>
      <c r="F3274" s="26"/>
      <c r="J3274" s="68"/>
      <c r="K3274" s="68"/>
      <c r="L3274" s="68"/>
    </row>
    <row r="3275" spans="1:12" x14ac:dyDescent="0.25">
      <c r="A3275" s="10"/>
      <c r="F3275" s="26"/>
      <c r="J3275" s="68"/>
      <c r="K3275" s="68"/>
      <c r="L3275" s="68"/>
    </row>
    <row r="3276" spans="1:12" x14ac:dyDescent="0.25">
      <c r="A3276" s="10"/>
      <c r="F3276" s="26"/>
      <c r="J3276" s="68"/>
      <c r="K3276" s="68"/>
      <c r="L3276" s="68"/>
    </row>
    <row r="3277" spans="1:12" x14ac:dyDescent="0.25">
      <c r="A3277" s="10"/>
      <c r="F3277" s="26"/>
      <c r="J3277" s="68"/>
      <c r="K3277" s="68"/>
      <c r="L3277" s="68"/>
    </row>
    <row r="3278" spans="1:12" x14ac:dyDescent="0.25">
      <c r="A3278" s="10"/>
      <c r="F3278" s="26"/>
      <c r="J3278" s="68"/>
      <c r="K3278" s="68"/>
      <c r="L3278" s="68"/>
    </row>
    <row r="3279" spans="1:12" x14ac:dyDescent="0.25">
      <c r="A3279" s="10"/>
      <c r="F3279" s="26"/>
      <c r="J3279" s="68"/>
      <c r="K3279" s="68"/>
      <c r="L3279" s="68"/>
    </row>
    <row r="3280" spans="1:12" x14ac:dyDescent="0.25">
      <c r="A3280" s="10"/>
      <c r="B3280" s="10"/>
      <c r="C3280" s="10"/>
      <c r="D3280" s="10"/>
      <c r="E3280" s="10"/>
      <c r="F3280" s="25"/>
      <c r="G3280" s="10"/>
      <c r="H3280" s="10"/>
      <c r="I3280" s="10"/>
      <c r="J3280" s="10"/>
    </row>
    <row r="3281" spans="1:10" x14ac:dyDescent="0.25">
      <c r="A3281" s="10"/>
      <c r="B3281" s="10"/>
      <c r="C3281" s="10"/>
      <c r="D3281" s="10"/>
      <c r="E3281" s="10"/>
      <c r="F3281" s="25"/>
      <c r="G3281" s="10"/>
      <c r="H3281" s="10"/>
      <c r="I3281" s="10"/>
      <c r="J3281" s="10"/>
    </row>
    <row r="3282" spans="1:10" x14ac:dyDescent="0.25">
      <c r="A3282" s="10"/>
      <c r="B3282" s="10"/>
      <c r="C3282" s="10"/>
      <c r="D3282" s="10"/>
      <c r="E3282" s="10"/>
      <c r="F3282" s="25"/>
      <c r="G3282" s="10"/>
      <c r="H3282" s="10"/>
      <c r="I3282" s="10"/>
      <c r="J3282" s="10"/>
    </row>
    <row r="3283" spans="1:10" x14ac:dyDescent="0.25">
      <c r="A3283" s="10"/>
      <c r="B3283" s="10"/>
      <c r="C3283" s="10"/>
      <c r="D3283" s="10"/>
      <c r="E3283" s="10"/>
      <c r="F3283" s="25"/>
      <c r="G3283" s="10"/>
      <c r="H3283" s="10"/>
      <c r="I3283" s="10"/>
      <c r="J3283" s="10"/>
    </row>
    <row r="3284" spans="1:10" x14ac:dyDescent="0.25">
      <c r="A3284" s="10"/>
      <c r="B3284" s="10"/>
      <c r="C3284" s="10"/>
      <c r="D3284" s="10"/>
      <c r="E3284" s="10"/>
      <c r="F3284" s="25"/>
      <c r="G3284" s="10"/>
      <c r="H3284" s="10"/>
      <c r="I3284" s="10"/>
      <c r="J3284" s="10"/>
    </row>
    <row r="3285" spans="1:10" x14ac:dyDescent="0.25">
      <c r="A3285" s="10"/>
      <c r="B3285" s="10"/>
      <c r="C3285" s="10"/>
      <c r="D3285" s="10"/>
      <c r="E3285" s="10"/>
      <c r="F3285" s="25"/>
      <c r="G3285" s="10"/>
      <c r="H3285" s="10"/>
      <c r="I3285" s="10"/>
      <c r="J3285" s="10"/>
    </row>
    <row r="3286" spans="1:10" x14ac:dyDescent="0.25">
      <c r="A3286" s="10"/>
      <c r="B3286" s="10"/>
      <c r="C3286" s="10"/>
      <c r="D3286" s="10"/>
      <c r="E3286" s="10"/>
      <c r="F3286" s="25"/>
      <c r="G3286" s="10"/>
      <c r="H3286" s="10"/>
      <c r="I3286" s="10"/>
      <c r="J3286" s="10"/>
    </row>
    <row r="3287" spans="1:10" x14ac:dyDescent="0.25">
      <c r="A3287" s="10"/>
      <c r="B3287" s="10"/>
      <c r="C3287" s="10"/>
      <c r="D3287" s="10"/>
      <c r="E3287" s="10"/>
      <c r="F3287" s="25"/>
      <c r="G3287" s="10"/>
      <c r="H3287" s="10"/>
      <c r="I3287" s="10"/>
      <c r="J3287" s="10"/>
    </row>
    <row r="3288" spans="1:10" x14ac:dyDescent="0.25">
      <c r="A3288" s="10"/>
      <c r="B3288" s="10"/>
      <c r="C3288" s="10"/>
      <c r="D3288" s="10"/>
      <c r="E3288" s="10"/>
      <c r="F3288" s="25"/>
      <c r="G3288" s="10"/>
      <c r="H3288" s="10"/>
      <c r="I3288" s="10"/>
      <c r="J3288" s="10"/>
    </row>
    <row r="3289" spans="1:10" x14ac:dyDescent="0.25">
      <c r="A3289" s="10"/>
      <c r="B3289" s="10"/>
      <c r="C3289" s="10"/>
      <c r="D3289" s="10"/>
      <c r="E3289" s="10"/>
      <c r="F3289" s="25"/>
      <c r="G3289" s="10"/>
      <c r="H3289" s="10"/>
      <c r="I3289" s="10"/>
      <c r="J3289" s="10"/>
    </row>
    <row r="3290" spans="1:10" x14ac:dyDescent="0.25">
      <c r="A3290" s="10"/>
      <c r="B3290" s="10"/>
      <c r="C3290" s="10"/>
      <c r="D3290" s="10"/>
      <c r="E3290" s="10"/>
      <c r="F3290" s="25"/>
      <c r="G3290" s="10"/>
      <c r="H3290" s="10"/>
      <c r="I3290" s="10"/>
      <c r="J3290" s="10"/>
    </row>
    <row r="3291" spans="1:10" x14ac:dyDescent="0.25">
      <c r="A3291" s="10"/>
      <c r="B3291" s="10"/>
      <c r="C3291" s="10"/>
      <c r="D3291" s="10"/>
      <c r="E3291" s="10"/>
      <c r="F3291" s="25"/>
      <c r="G3291" s="10"/>
      <c r="H3291" s="10"/>
      <c r="I3291" s="10"/>
      <c r="J3291" s="10"/>
    </row>
    <row r="3292" spans="1:10" x14ac:dyDescent="0.25">
      <c r="A3292" s="10"/>
      <c r="B3292" s="10"/>
      <c r="C3292" s="10"/>
      <c r="D3292" s="10"/>
      <c r="E3292" s="10"/>
      <c r="F3292" s="25"/>
      <c r="G3292" s="10"/>
      <c r="H3292" s="10"/>
      <c r="I3292" s="10"/>
      <c r="J3292" s="10"/>
    </row>
    <row r="3293" spans="1:10" x14ac:dyDescent="0.25">
      <c r="A3293" s="10"/>
      <c r="B3293" s="10"/>
      <c r="C3293" s="10"/>
      <c r="D3293" s="10"/>
      <c r="E3293" s="10"/>
      <c r="F3293" s="25"/>
      <c r="G3293" s="10"/>
      <c r="H3293" s="10"/>
      <c r="I3293" s="10"/>
      <c r="J3293" s="10"/>
    </row>
    <row r="3294" spans="1:10" x14ac:dyDescent="0.25">
      <c r="A3294" s="10"/>
      <c r="B3294" s="10"/>
      <c r="C3294" s="10"/>
      <c r="D3294" s="10"/>
      <c r="E3294" s="10"/>
      <c r="F3294" s="25"/>
      <c r="G3294" s="10"/>
      <c r="H3294" s="10"/>
      <c r="I3294" s="10"/>
      <c r="J3294" s="10"/>
    </row>
    <row r="3295" spans="1:10" x14ac:dyDescent="0.25">
      <c r="A3295" s="10"/>
      <c r="B3295" s="10"/>
      <c r="C3295" s="10"/>
      <c r="D3295" s="10"/>
      <c r="E3295" s="10"/>
      <c r="F3295" s="25"/>
      <c r="G3295" s="10"/>
      <c r="H3295" s="10"/>
      <c r="I3295" s="10"/>
      <c r="J3295" s="10"/>
    </row>
    <row r="3296" spans="1:10" x14ac:dyDescent="0.25">
      <c r="A3296" s="10"/>
      <c r="B3296" s="10"/>
      <c r="C3296" s="10"/>
      <c r="D3296" s="10"/>
      <c r="E3296" s="10"/>
      <c r="F3296" s="25"/>
      <c r="G3296" s="10"/>
      <c r="H3296" s="10"/>
      <c r="I3296" s="10"/>
      <c r="J3296" s="10"/>
    </row>
    <row r="3297" spans="1:10" x14ac:dyDescent="0.25">
      <c r="A3297" s="10"/>
      <c r="B3297" s="10"/>
      <c r="C3297" s="10"/>
      <c r="D3297" s="10"/>
      <c r="E3297" s="10"/>
      <c r="F3297" s="25"/>
      <c r="G3297" s="10"/>
      <c r="H3297" s="10"/>
      <c r="I3297" s="10"/>
      <c r="J3297" s="10"/>
    </row>
    <row r="3298" spans="1:10" x14ac:dyDescent="0.25">
      <c r="A3298" s="10"/>
      <c r="B3298" s="10"/>
      <c r="C3298" s="10"/>
      <c r="D3298" s="10"/>
      <c r="E3298" s="10"/>
      <c r="F3298" s="25"/>
      <c r="G3298" s="10"/>
      <c r="H3298" s="10"/>
      <c r="I3298" s="10"/>
      <c r="J3298" s="10"/>
    </row>
    <row r="3299" spans="1:10" x14ac:dyDescent="0.25">
      <c r="A3299" s="10"/>
      <c r="B3299" s="10"/>
      <c r="C3299" s="10"/>
      <c r="D3299" s="10"/>
      <c r="E3299" s="10"/>
      <c r="F3299" s="25"/>
      <c r="G3299" s="10"/>
      <c r="H3299" s="10"/>
      <c r="I3299" s="10"/>
      <c r="J3299" s="10"/>
    </row>
    <row r="3300" spans="1:10" x14ac:dyDescent="0.25">
      <c r="A3300" s="10"/>
      <c r="B3300" s="10"/>
      <c r="C3300" s="10"/>
      <c r="D3300" s="10"/>
      <c r="E3300" s="10"/>
      <c r="F3300" s="25"/>
      <c r="G3300" s="10"/>
      <c r="H3300" s="10"/>
      <c r="I3300" s="10"/>
      <c r="J3300" s="10"/>
    </row>
    <row r="3301" spans="1:10" x14ac:dyDescent="0.25">
      <c r="A3301" s="10"/>
      <c r="B3301" s="10"/>
      <c r="C3301" s="10"/>
      <c r="D3301" s="10"/>
      <c r="E3301" s="10"/>
      <c r="F3301" s="25"/>
      <c r="G3301" s="10"/>
      <c r="H3301" s="10"/>
      <c r="I3301" s="10"/>
      <c r="J3301" s="10"/>
    </row>
    <row r="3302" spans="1:10" x14ac:dyDescent="0.25">
      <c r="A3302" s="10"/>
      <c r="B3302" s="10"/>
      <c r="C3302" s="10"/>
      <c r="D3302" s="10"/>
      <c r="E3302" s="10"/>
      <c r="F3302" s="25"/>
      <c r="G3302" s="10"/>
      <c r="H3302" s="10"/>
      <c r="I3302" s="10"/>
      <c r="J3302" s="10"/>
    </row>
    <row r="3303" spans="1:10" x14ac:dyDescent="0.25">
      <c r="A3303" s="10"/>
      <c r="B3303" s="10"/>
      <c r="C3303" s="10"/>
      <c r="D3303" s="10"/>
      <c r="E3303" s="10"/>
      <c r="F3303" s="25"/>
      <c r="G3303" s="10"/>
      <c r="H3303" s="10"/>
      <c r="I3303" s="10"/>
      <c r="J3303" s="10"/>
    </row>
    <row r="3304" spans="1:10" x14ac:dyDescent="0.25">
      <c r="A3304" s="10"/>
      <c r="B3304" s="10"/>
      <c r="C3304" s="10"/>
      <c r="D3304" s="10"/>
      <c r="E3304" s="10"/>
      <c r="F3304" s="25"/>
      <c r="G3304" s="10"/>
      <c r="H3304" s="10"/>
      <c r="I3304" s="10"/>
      <c r="J3304" s="10"/>
    </row>
    <row r="3305" spans="1:10" x14ac:dyDescent="0.25">
      <c r="A3305" s="10"/>
      <c r="B3305" s="10"/>
      <c r="C3305" s="10"/>
      <c r="D3305" s="10"/>
      <c r="E3305" s="10"/>
      <c r="F3305" s="25"/>
      <c r="G3305" s="10"/>
      <c r="H3305" s="10"/>
      <c r="I3305" s="10"/>
      <c r="J3305" s="10"/>
    </row>
    <row r="3306" spans="1:10" x14ac:dyDescent="0.25">
      <c r="A3306" s="10"/>
      <c r="B3306" s="10"/>
      <c r="C3306" s="10"/>
      <c r="D3306" s="10"/>
      <c r="E3306" s="10"/>
      <c r="F3306" s="25"/>
      <c r="G3306" s="10"/>
      <c r="H3306" s="10"/>
      <c r="I3306" s="10"/>
      <c r="J3306" s="10"/>
    </row>
    <row r="3307" spans="1:10" x14ac:dyDescent="0.25">
      <c r="A3307" s="10"/>
      <c r="B3307" s="10"/>
      <c r="C3307" s="10"/>
      <c r="D3307" s="10"/>
      <c r="E3307" s="10"/>
      <c r="F3307" s="25"/>
      <c r="G3307" s="10"/>
      <c r="H3307" s="10"/>
      <c r="I3307" s="10"/>
      <c r="J3307" s="10"/>
    </row>
    <row r="3308" spans="1:10" x14ac:dyDescent="0.25">
      <c r="A3308" s="10"/>
      <c r="B3308" s="10"/>
      <c r="C3308" s="10"/>
      <c r="D3308" s="10"/>
      <c r="E3308" s="10"/>
      <c r="F3308" s="25"/>
      <c r="G3308" s="10"/>
      <c r="H3308" s="10"/>
      <c r="I3308" s="10"/>
      <c r="J3308" s="10"/>
    </row>
    <row r="3309" spans="1:10" x14ac:dyDescent="0.25">
      <c r="A3309" s="10"/>
      <c r="B3309" s="10"/>
      <c r="C3309" s="10"/>
      <c r="D3309" s="10"/>
      <c r="E3309" s="10"/>
      <c r="F3309" s="25"/>
      <c r="G3309" s="10"/>
      <c r="H3309" s="10"/>
      <c r="I3309" s="10"/>
      <c r="J3309" s="10"/>
    </row>
    <row r="3310" spans="1:10" x14ac:dyDescent="0.25">
      <c r="A3310" s="10"/>
      <c r="B3310" s="10"/>
      <c r="C3310" s="10"/>
      <c r="D3310" s="10"/>
      <c r="E3310" s="10"/>
      <c r="F3310" s="25"/>
      <c r="G3310" s="10"/>
      <c r="H3310" s="10"/>
      <c r="I3310" s="10"/>
      <c r="J3310" s="10"/>
    </row>
    <row r="3311" spans="1:10" x14ac:dyDescent="0.25">
      <c r="A3311" s="10"/>
      <c r="B3311" s="10"/>
      <c r="C3311" s="10"/>
      <c r="D3311" s="10"/>
      <c r="E3311" s="10"/>
      <c r="F3311" s="25"/>
      <c r="G3311" s="10"/>
      <c r="H3311" s="10"/>
      <c r="I3311" s="10"/>
      <c r="J3311" s="10"/>
    </row>
    <row r="3312" spans="1:10" x14ac:dyDescent="0.25">
      <c r="A3312" s="10"/>
      <c r="B3312" s="10"/>
      <c r="C3312" s="10"/>
      <c r="D3312" s="10"/>
      <c r="E3312" s="10"/>
      <c r="F3312" s="25"/>
      <c r="G3312" s="10"/>
      <c r="H3312" s="10"/>
      <c r="I3312" s="10"/>
      <c r="J3312" s="10"/>
    </row>
    <row r="3313" spans="1:10" x14ac:dyDescent="0.25">
      <c r="A3313" s="10"/>
      <c r="B3313" s="10"/>
      <c r="C3313" s="10"/>
      <c r="D3313" s="10"/>
      <c r="E3313" s="10"/>
      <c r="F3313" s="25"/>
      <c r="G3313" s="10"/>
      <c r="H3313" s="10"/>
      <c r="I3313" s="10"/>
      <c r="J3313" s="10"/>
    </row>
    <row r="3314" spans="1:10" x14ac:dyDescent="0.25">
      <c r="A3314" s="10"/>
      <c r="B3314" s="10"/>
      <c r="C3314" s="10"/>
      <c r="D3314" s="10"/>
      <c r="E3314" s="10"/>
      <c r="F3314" s="25"/>
      <c r="G3314" s="10"/>
      <c r="H3314" s="10"/>
      <c r="I3314" s="10"/>
      <c r="J3314" s="10"/>
    </row>
    <row r="3315" spans="1:10" x14ac:dyDescent="0.25">
      <c r="A3315" s="10"/>
      <c r="B3315" s="10"/>
      <c r="C3315" s="10"/>
      <c r="D3315" s="10"/>
      <c r="E3315" s="10"/>
      <c r="F3315" s="25"/>
      <c r="G3315" s="10"/>
      <c r="H3315" s="10"/>
      <c r="I3315" s="10"/>
      <c r="J3315" s="10"/>
    </row>
    <row r="3316" spans="1:10" x14ac:dyDescent="0.25">
      <c r="A3316" s="10"/>
      <c r="B3316" s="10"/>
      <c r="C3316" s="10"/>
      <c r="D3316" s="10"/>
      <c r="E3316" s="10"/>
      <c r="F3316" s="25"/>
      <c r="G3316" s="10"/>
      <c r="H3316" s="10"/>
      <c r="I3316" s="10"/>
      <c r="J3316" s="10"/>
    </row>
    <row r="3317" spans="1:10" x14ac:dyDescent="0.25">
      <c r="A3317" s="10"/>
      <c r="B3317" s="10"/>
      <c r="C3317" s="10"/>
      <c r="D3317" s="10"/>
      <c r="E3317" s="10"/>
      <c r="F3317" s="25"/>
      <c r="G3317" s="10"/>
      <c r="H3317" s="10"/>
      <c r="I3317" s="10"/>
      <c r="J3317" s="10"/>
    </row>
    <row r="3318" spans="1:10" x14ac:dyDescent="0.25">
      <c r="A3318" s="10"/>
      <c r="B3318" s="10"/>
      <c r="C3318" s="10"/>
      <c r="D3318" s="10"/>
      <c r="E3318" s="10"/>
      <c r="F3318" s="25"/>
      <c r="G3318" s="10"/>
      <c r="H3318" s="10"/>
      <c r="I3318" s="10"/>
      <c r="J3318" s="10"/>
    </row>
    <row r="3319" spans="1:10" x14ac:dyDescent="0.25">
      <c r="A3319" s="10"/>
      <c r="B3319" s="10"/>
      <c r="C3319" s="10"/>
      <c r="D3319" s="10"/>
      <c r="E3319" s="10"/>
      <c r="F3319" s="25"/>
      <c r="G3319" s="10"/>
      <c r="H3319" s="10"/>
      <c r="I3319" s="10"/>
      <c r="J3319" s="10"/>
    </row>
    <row r="3320" spans="1:10" x14ac:dyDescent="0.25">
      <c r="A3320" s="10"/>
      <c r="B3320" s="10"/>
      <c r="C3320" s="10"/>
      <c r="D3320" s="10"/>
      <c r="E3320" s="10"/>
      <c r="F3320" s="25"/>
      <c r="G3320" s="10"/>
      <c r="H3320" s="10"/>
      <c r="I3320" s="10"/>
      <c r="J3320" s="10"/>
    </row>
    <row r="3321" spans="1:10" x14ac:dyDescent="0.25">
      <c r="A3321" s="10"/>
      <c r="B3321" s="10"/>
      <c r="C3321" s="10"/>
      <c r="D3321" s="10"/>
      <c r="E3321" s="10"/>
      <c r="F3321" s="25"/>
      <c r="G3321" s="10"/>
      <c r="H3321" s="10"/>
      <c r="I3321" s="10"/>
      <c r="J3321" s="10"/>
    </row>
    <row r="3322" spans="1:10" x14ac:dyDescent="0.25">
      <c r="A3322" s="10"/>
      <c r="B3322" s="10"/>
      <c r="C3322" s="10"/>
      <c r="D3322" s="10"/>
      <c r="E3322" s="10"/>
      <c r="F3322" s="25"/>
      <c r="G3322" s="10"/>
      <c r="H3322" s="10"/>
      <c r="I3322" s="10"/>
      <c r="J3322" s="10"/>
    </row>
    <row r="3323" spans="1:10" x14ac:dyDescent="0.25">
      <c r="A3323" s="10"/>
      <c r="B3323" s="10"/>
      <c r="C3323" s="10"/>
      <c r="D3323" s="10"/>
      <c r="E3323" s="10"/>
      <c r="F3323" s="25"/>
      <c r="G3323" s="10"/>
      <c r="H3323" s="10"/>
      <c r="I3323" s="10"/>
      <c r="J3323" s="10"/>
    </row>
    <row r="3324" spans="1:10" x14ac:dyDescent="0.25">
      <c r="A3324" s="10"/>
      <c r="B3324" s="10"/>
      <c r="C3324" s="10"/>
      <c r="D3324" s="10"/>
      <c r="E3324" s="10"/>
      <c r="F3324" s="25"/>
      <c r="G3324" s="10"/>
      <c r="H3324" s="10"/>
      <c r="I3324" s="10"/>
      <c r="J3324" s="10"/>
    </row>
    <row r="3325" spans="1:10" x14ac:dyDescent="0.25">
      <c r="A3325" s="10"/>
      <c r="B3325" s="10"/>
      <c r="C3325" s="10"/>
      <c r="D3325" s="10"/>
      <c r="E3325" s="10"/>
      <c r="F3325" s="25"/>
      <c r="G3325" s="10"/>
      <c r="H3325" s="10"/>
      <c r="I3325" s="10"/>
      <c r="J3325" s="10"/>
    </row>
    <row r="3326" spans="1:10" x14ac:dyDescent="0.25">
      <c r="A3326" s="10"/>
      <c r="B3326" s="10"/>
      <c r="C3326" s="10"/>
      <c r="D3326" s="10"/>
      <c r="E3326" s="10"/>
      <c r="F3326" s="25"/>
      <c r="G3326" s="10"/>
      <c r="H3326" s="10"/>
      <c r="I3326" s="10"/>
      <c r="J3326" s="10"/>
    </row>
    <row r="3327" spans="1:10" x14ac:dyDescent="0.25">
      <c r="A3327" s="10"/>
      <c r="B3327" s="10"/>
      <c r="C3327" s="10"/>
      <c r="D3327" s="10"/>
      <c r="E3327" s="10"/>
      <c r="F3327" s="25"/>
      <c r="G3327" s="10"/>
      <c r="H3327" s="10"/>
      <c r="I3327" s="10"/>
      <c r="J3327" s="10"/>
    </row>
    <row r="3328" spans="1:10" x14ac:dyDescent="0.25">
      <c r="A3328" s="10"/>
      <c r="B3328" s="10"/>
      <c r="C3328" s="10"/>
      <c r="D3328" s="10"/>
      <c r="E3328" s="10"/>
      <c r="F3328" s="25"/>
      <c r="G3328" s="10"/>
      <c r="H3328" s="10"/>
      <c r="I3328" s="10"/>
      <c r="J3328" s="10"/>
    </row>
    <row r="3329" spans="1:10" x14ac:dyDescent="0.25">
      <c r="A3329" s="10"/>
      <c r="B3329" s="10"/>
      <c r="C3329" s="10"/>
      <c r="D3329" s="10"/>
      <c r="E3329" s="10"/>
      <c r="F3329" s="25"/>
      <c r="G3329" s="10"/>
      <c r="H3329" s="10"/>
      <c r="I3329" s="10"/>
      <c r="J3329" s="10"/>
    </row>
    <row r="3330" spans="1:10" x14ac:dyDescent="0.25">
      <c r="A3330" s="10"/>
      <c r="B3330" s="10"/>
      <c r="C3330" s="10"/>
      <c r="D3330" s="10"/>
      <c r="E3330" s="10"/>
      <c r="F3330" s="25"/>
      <c r="G3330" s="10"/>
      <c r="H3330" s="10"/>
      <c r="I3330" s="10"/>
      <c r="J3330" s="10"/>
    </row>
    <row r="3331" spans="1:10" x14ac:dyDescent="0.25">
      <c r="A3331" s="10"/>
      <c r="B3331" s="10"/>
      <c r="C3331" s="10"/>
      <c r="D3331" s="10"/>
      <c r="E3331" s="10"/>
      <c r="F3331" s="25"/>
      <c r="G3331" s="10"/>
      <c r="H3331" s="10"/>
      <c r="I3331" s="10"/>
      <c r="J3331" s="10"/>
    </row>
    <row r="3332" spans="1:10" x14ac:dyDescent="0.25">
      <c r="A3332" s="10"/>
      <c r="B3332" s="10"/>
      <c r="C3332" s="10"/>
      <c r="D3332" s="10"/>
      <c r="E3332" s="10"/>
      <c r="F3332" s="25"/>
      <c r="G3332" s="10"/>
      <c r="H3332" s="10"/>
      <c r="I3332" s="10"/>
      <c r="J3332" s="10"/>
    </row>
    <row r="3333" spans="1:10" x14ac:dyDescent="0.25">
      <c r="A3333" s="10"/>
      <c r="B3333" s="10"/>
      <c r="C3333" s="10"/>
      <c r="D3333" s="10"/>
      <c r="E3333" s="10"/>
      <c r="F3333" s="25"/>
      <c r="G3333" s="10"/>
      <c r="H3333" s="10"/>
      <c r="I3333" s="10"/>
      <c r="J3333" s="10"/>
    </row>
    <row r="3334" spans="1:10" x14ac:dyDescent="0.25">
      <c r="A3334" s="10"/>
      <c r="B3334" s="10"/>
      <c r="C3334" s="10"/>
      <c r="D3334" s="10"/>
      <c r="E3334" s="10"/>
      <c r="F3334" s="25"/>
      <c r="G3334" s="10"/>
      <c r="H3334" s="10"/>
      <c r="I3334" s="10"/>
      <c r="J3334" s="10"/>
    </row>
    <row r="3335" spans="1:10" x14ac:dyDescent="0.25">
      <c r="A3335" s="10"/>
      <c r="B3335" s="10"/>
      <c r="C3335" s="10"/>
      <c r="D3335" s="10"/>
      <c r="E3335" s="10"/>
      <c r="F3335" s="25"/>
      <c r="G3335" s="10"/>
      <c r="H3335" s="10"/>
      <c r="I3335" s="10"/>
      <c r="J3335" s="10"/>
    </row>
    <row r="3336" spans="1:10" x14ac:dyDescent="0.25">
      <c r="A3336" s="10"/>
      <c r="B3336" s="10"/>
      <c r="C3336" s="10"/>
      <c r="D3336" s="10"/>
      <c r="E3336" s="10"/>
      <c r="F3336" s="25"/>
      <c r="G3336" s="10"/>
      <c r="H3336" s="10"/>
      <c r="I3336" s="10"/>
      <c r="J3336" s="10"/>
    </row>
    <row r="3337" spans="1:10" x14ac:dyDescent="0.25">
      <c r="A3337" s="10"/>
      <c r="B3337" s="10"/>
      <c r="C3337" s="10"/>
      <c r="D3337" s="10"/>
      <c r="E3337" s="10"/>
      <c r="F3337" s="25"/>
      <c r="G3337" s="10"/>
      <c r="H3337" s="10"/>
      <c r="I3337" s="10"/>
      <c r="J3337" s="10"/>
    </row>
    <row r="3338" spans="1:10" x14ac:dyDescent="0.25">
      <c r="A3338" s="10"/>
      <c r="B3338" s="10"/>
      <c r="C3338" s="10"/>
      <c r="D3338" s="10"/>
      <c r="E3338" s="10"/>
      <c r="F3338" s="25"/>
      <c r="G3338" s="10"/>
      <c r="H3338" s="10"/>
      <c r="I3338" s="10"/>
      <c r="J3338" s="10"/>
    </row>
    <row r="3339" spans="1:10" x14ac:dyDescent="0.25">
      <c r="A3339" s="10"/>
      <c r="B3339" s="10"/>
      <c r="C3339" s="10"/>
      <c r="D3339" s="10"/>
      <c r="E3339" s="10"/>
      <c r="F3339" s="25"/>
      <c r="G3339" s="10"/>
      <c r="H3339" s="10"/>
      <c r="I3339" s="10"/>
      <c r="J3339" s="10"/>
    </row>
    <row r="3340" spans="1:10" x14ac:dyDescent="0.25">
      <c r="A3340" s="10"/>
      <c r="B3340" s="10"/>
      <c r="C3340" s="10"/>
      <c r="D3340" s="10"/>
      <c r="E3340" s="10"/>
      <c r="F3340" s="25"/>
      <c r="G3340" s="10"/>
      <c r="H3340" s="10"/>
      <c r="I3340" s="10"/>
      <c r="J3340" s="10"/>
    </row>
    <row r="3341" spans="1:10" x14ac:dyDescent="0.25">
      <c r="A3341" s="10"/>
      <c r="B3341" s="10"/>
      <c r="C3341" s="10"/>
      <c r="D3341" s="10"/>
      <c r="E3341" s="10"/>
      <c r="F3341" s="25"/>
      <c r="G3341" s="10"/>
      <c r="H3341" s="10"/>
      <c r="I3341" s="10"/>
      <c r="J3341" s="10"/>
    </row>
    <row r="3342" spans="1:10" x14ac:dyDescent="0.25">
      <c r="A3342" s="10"/>
      <c r="B3342" s="10"/>
      <c r="C3342" s="10"/>
      <c r="D3342" s="10"/>
      <c r="E3342" s="10"/>
      <c r="F3342" s="25"/>
      <c r="G3342" s="10"/>
      <c r="H3342" s="10"/>
      <c r="I3342" s="10"/>
      <c r="J3342" s="10"/>
    </row>
    <row r="3343" spans="1:10" x14ac:dyDescent="0.25">
      <c r="A3343" s="10"/>
      <c r="B3343" s="10"/>
      <c r="C3343" s="10"/>
      <c r="D3343" s="10"/>
      <c r="E3343" s="10"/>
      <c r="F3343" s="25"/>
      <c r="G3343" s="10"/>
      <c r="H3343" s="10"/>
      <c r="I3343" s="10"/>
      <c r="J3343" s="10"/>
    </row>
    <row r="3344" spans="1:10" x14ac:dyDescent="0.25">
      <c r="A3344" s="10"/>
      <c r="B3344" s="10"/>
      <c r="C3344" s="10"/>
      <c r="D3344" s="10"/>
      <c r="E3344" s="10"/>
      <c r="F3344" s="25"/>
      <c r="G3344" s="10"/>
      <c r="H3344" s="10"/>
      <c r="I3344" s="10"/>
      <c r="J3344" s="10"/>
    </row>
    <row r="3345" spans="1:10" x14ac:dyDescent="0.25">
      <c r="A3345" s="10"/>
      <c r="B3345" s="10"/>
      <c r="C3345" s="10"/>
      <c r="D3345" s="10"/>
      <c r="E3345" s="10"/>
      <c r="F3345" s="25"/>
      <c r="G3345" s="10"/>
      <c r="H3345" s="10"/>
      <c r="I3345" s="10"/>
      <c r="J3345" s="10"/>
    </row>
    <row r="3346" spans="1:10" x14ac:dyDescent="0.25">
      <c r="A3346" s="10"/>
      <c r="B3346" s="10"/>
      <c r="C3346" s="10"/>
      <c r="D3346" s="10"/>
      <c r="E3346" s="10"/>
      <c r="F3346" s="25"/>
      <c r="G3346" s="10"/>
      <c r="H3346" s="10"/>
      <c r="I3346" s="10"/>
      <c r="J3346" s="10"/>
    </row>
    <row r="3347" spans="1:10" x14ac:dyDescent="0.25">
      <c r="A3347" s="10"/>
      <c r="B3347" s="10"/>
      <c r="C3347" s="10"/>
      <c r="D3347" s="10"/>
      <c r="E3347" s="10"/>
      <c r="F3347" s="25"/>
      <c r="G3347" s="10"/>
      <c r="H3347" s="10"/>
      <c r="I3347" s="10"/>
      <c r="J3347" s="10"/>
    </row>
    <row r="3348" spans="1:10" x14ac:dyDescent="0.25">
      <c r="A3348" s="10"/>
      <c r="B3348" s="10"/>
      <c r="C3348" s="10"/>
      <c r="D3348" s="10"/>
      <c r="E3348" s="10"/>
      <c r="F3348" s="25"/>
      <c r="G3348" s="10"/>
      <c r="H3348" s="10"/>
      <c r="I3348" s="10"/>
      <c r="J3348" s="10"/>
    </row>
    <row r="3349" spans="1:10" x14ac:dyDescent="0.25">
      <c r="A3349" s="10"/>
      <c r="B3349" s="10"/>
      <c r="C3349" s="10"/>
      <c r="D3349" s="10"/>
      <c r="E3349" s="10"/>
      <c r="F3349" s="25"/>
      <c r="G3349" s="10"/>
      <c r="H3349" s="10"/>
      <c r="I3349" s="10"/>
      <c r="J3349" s="10"/>
    </row>
    <row r="3350" spans="1:10" x14ac:dyDescent="0.25">
      <c r="A3350" s="10"/>
      <c r="B3350" s="10"/>
      <c r="C3350" s="10"/>
      <c r="D3350" s="10"/>
      <c r="E3350" s="10"/>
      <c r="F3350" s="25"/>
      <c r="G3350" s="10"/>
      <c r="H3350" s="10"/>
      <c r="I3350" s="10"/>
      <c r="J3350" s="10"/>
    </row>
    <row r="3351" spans="1:10" x14ac:dyDescent="0.25">
      <c r="A3351" s="10"/>
      <c r="B3351" s="10"/>
      <c r="C3351" s="10"/>
      <c r="D3351" s="10"/>
      <c r="E3351" s="10"/>
      <c r="F3351" s="25"/>
      <c r="G3351" s="10"/>
      <c r="H3351" s="10"/>
      <c r="I3351" s="10"/>
      <c r="J3351" s="10"/>
    </row>
    <row r="3352" spans="1:10" x14ac:dyDescent="0.25">
      <c r="A3352" s="10"/>
      <c r="B3352" s="10"/>
      <c r="C3352" s="10"/>
      <c r="D3352" s="10"/>
      <c r="E3352" s="10"/>
      <c r="F3352" s="25"/>
      <c r="G3352" s="10"/>
      <c r="H3352" s="10"/>
      <c r="I3352" s="10"/>
      <c r="J3352" s="10"/>
    </row>
    <row r="3353" spans="1:10" x14ac:dyDescent="0.25">
      <c r="A3353" s="10"/>
      <c r="B3353" s="10"/>
      <c r="C3353" s="10"/>
      <c r="D3353" s="10"/>
      <c r="E3353" s="10"/>
      <c r="F3353" s="25"/>
      <c r="G3353" s="10"/>
      <c r="H3353" s="10"/>
      <c r="I3353" s="10"/>
      <c r="J3353" s="10"/>
    </row>
    <row r="3354" spans="1:10" x14ac:dyDescent="0.25">
      <c r="A3354" s="10"/>
      <c r="B3354" s="10"/>
      <c r="C3354" s="10"/>
      <c r="D3354" s="10"/>
      <c r="E3354" s="10"/>
      <c r="F3354" s="25"/>
      <c r="G3354" s="10"/>
      <c r="H3354" s="10"/>
      <c r="I3354" s="10"/>
      <c r="J3354" s="10"/>
    </row>
    <row r="3355" spans="1:10" x14ac:dyDescent="0.25">
      <c r="A3355" s="10"/>
      <c r="B3355" s="10"/>
      <c r="C3355" s="10"/>
      <c r="D3355" s="10"/>
      <c r="E3355" s="10"/>
      <c r="F3355" s="25"/>
      <c r="G3355" s="10"/>
      <c r="H3355" s="10"/>
      <c r="I3355" s="10"/>
      <c r="J3355" s="10"/>
    </row>
    <row r="3356" spans="1:10" x14ac:dyDescent="0.25">
      <c r="A3356" s="10"/>
      <c r="B3356" s="10"/>
      <c r="C3356" s="10"/>
      <c r="D3356" s="10"/>
      <c r="E3356" s="10"/>
      <c r="F3356" s="25"/>
      <c r="G3356" s="10"/>
      <c r="H3356" s="10"/>
      <c r="I3356" s="10"/>
      <c r="J3356" s="10"/>
    </row>
    <row r="3357" spans="1:10" x14ac:dyDescent="0.25">
      <c r="A3357" s="10"/>
      <c r="B3357" s="10"/>
      <c r="C3357" s="10"/>
      <c r="D3357" s="10"/>
      <c r="E3357" s="10"/>
      <c r="F3357" s="25"/>
      <c r="G3357" s="10"/>
      <c r="H3357" s="10"/>
      <c r="I3357" s="10"/>
      <c r="J3357" s="10"/>
    </row>
    <row r="3358" spans="1:10" x14ac:dyDescent="0.25">
      <c r="A3358" s="10"/>
      <c r="B3358" s="10"/>
      <c r="C3358" s="10"/>
      <c r="D3358" s="10"/>
      <c r="E3358" s="10"/>
      <c r="F3358" s="25"/>
      <c r="G3358" s="10"/>
      <c r="H3358" s="10"/>
      <c r="I3358" s="10"/>
      <c r="J3358" s="10"/>
    </row>
    <row r="3359" spans="1:10" x14ac:dyDescent="0.25">
      <c r="A3359" s="10"/>
      <c r="B3359" s="10"/>
      <c r="C3359" s="10"/>
      <c r="D3359" s="10"/>
      <c r="E3359" s="10"/>
      <c r="F3359" s="25"/>
      <c r="G3359" s="10"/>
      <c r="H3359" s="10"/>
      <c r="I3359" s="10"/>
      <c r="J3359" s="10"/>
    </row>
    <row r="3360" spans="1:10" x14ac:dyDescent="0.25">
      <c r="A3360" s="10"/>
      <c r="B3360" s="10"/>
      <c r="C3360" s="10"/>
      <c r="D3360" s="10"/>
      <c r="E3360" s="10"/>
      <c r="F3360" s="25"/>
      <c r="G3360" s="10"/>
      <c r="H3360" s="10"/>
      <c r="I3360" s="10"/>
      <c r="J3360" s="10"/>
    </row>
    <row r="3361" spans="1:10" x14ac:dyDescent="0.25">
      <c r="A3361" s="10"/>
      <c r="B3361" s="10"/>
      <c r="C3361" s="10"/>
      <c r="D3361" s="10"/>
      <c r="E3361" s="10"/>
      <c r="F3361" s="25"/>
      <c r="G3361" s="10"/>
      <c r="H3361" s="10"/>
      <c r="I3361" s="10"/>
      <c r="J3361" s="10"/>
    </row>
    <row r="3362" spans="1:10" x14ac:dyDescent="0.25">
      <c r="A3362" s="10"/>
      <c r="B3362" s="10"/>
      <c r="C3362" s="10"/>
      <c r="D3362" s="10"/>
      <c r="E3362" s="10"/>
      <c r="F3362" s="25"/>
      <c r="G3362" s="10"/>
      <c r="H3362" s="10"/>
      <c r="I3362" s="10"/>
      <c r="J3362" s="10"/>
    </row>
    <row r="3363" spans="1:10" x14ac:dyDescent="0.25">
      <c r="A3363" s="10"/>
      <c r="B3363" s="10"/>
      <c r="C3363" s="10"/>
      <c r="D3363" s="10"/>
      <c r="E3363" s="10"/>
      <c r="F3363" s="25"/>
      <c r="G3363" s="10"/>
      <c r="H3363" s="10"/>
      <c r="I3363" s="10"/>
      <c r="J3363" s="10"/>
    </row>
    <row r="3364" spans="1:10" x14ac:dyDescent="0.25">
      <c r="A3364" s="10"/>
      <c r="B3364" s="10"/>
      <c r="C3364" s="10"/>
      <c r="D3364" s="10"/>
      <c r="E3364" s="10"/>
      <c r="F3364" s="25"/>
      <c r="G3364" s="10"/>
      <c r="H3364" s="10"/>
      <c r="I3364" s="10"/>
      <c r="J3364" s="10"/>
    </row>
    <row r="3365" spans="1:10" x14ac:dyDescent="0.25">
      <c r="A3365" s="10"/>
      <c r="B3365" s="10"/>
      <c r="C3365" s="10"/>
      <c r="D3365" s="10"/>
      <c r="E3365" s="10"/>
      <c r="F3365" s="25"/>
      <c r="G3365" s="10"/>
      <c r="H3365" s="10"/>
      <c r="I3365" s="10"/>
      <c r="J3365" s="10"/>
    </row>
    <row r="3366" spans="1:10" x14ac:dyDescent="0.25">
      <c r="A3366" s="10"/>
      <c r="B3366" s="10"/>
      <c r="C3366" s="10"/>
      <c r="D3366" s="10"/>
      <c r="E3366" s="10"/>
      <c r="F3366" s="25"/>
      <c r="G3366" s="10"/>
      <c r="H3366" s="10"/>
      <c r="I3366" s="10"/>
      <c r="J3366" s="10"/>
    </row>
    <row r="3367" spans="1:10" x14ac:dyDescent="0.25">
      <c r="A3367" s="10"/>
      <c r="B3367" s="10"/>
      <c r="C3367" s="10"/>
      <c r="D3367" s="10"/>
      <c r="E3367" s="10"/>
      <c r="F3367" s="25"/>
      <c r="G3367" s="10"/>
      <c r="H3367" s="10"/>
      <c r="I3367" s="10"/>
      <c r="J3367" s="10"/>
    </row>
    <row r="3368" spans="1:10" x14ac:dyDescent="0.25">
      <c r="A3368" s="10"/>
      <c r="B3368" s="10"/>
      <c r="C3368" s="10"/>
      <c r="D3368" s="10"/>
      <c r="E3368" s="10"/>
      <c r="F3368" s="25"/>
      <c r="G3368" s="10"/>
      <c r="H3368" s="10"/>
      <c r="I3368" s="10"/>
      <c r="J3368" s="10"/>
    </row>
    <row r="3369" spans="1:10" x14ac:dyDescent="0.25">
      <c r="A3369" s="10"/>
      <c r="B3369" s="10"/>
      <c r="C3369" s="10"/>
      <c r="D3369" s="10"/>
      <c r="E3369" s="10"/>
      <c r="F3369" s="25"/>
      <c r="G3369" s="10"/>
      <c r="H3369" s="10"/>
      <c r="I3369" s="10"/>
      <c r="J3369" s="10"/>
    </row>
    <row r="3370" spans="1:10" x14ac:dyDescent="0.25">
      <c r="A3370" s="10"/>
      <c r="B3370" s="10"/>
      <c r="C3370" s="10"/>
      <c r="D3370" s="10"/>
      <c r="E3370" s="10"/>
      <c r="F3370" s="25"/>
      <c r="G3370" s="10"/>
      <c r="H3370" s="10"/>
      <c r="I3370" s="10"/>
      <c r="J3370" s="10"/>
    </row>
    <row r="3371" spans="1:10" x14ac:dyDescent="0.25">
      <c r="A3371" s="10"/>
      <c r="B3371" s="10"/>
      <c r="C3371" s="10"/>
      <c r="D3371" s="10"/>
      <c r="E3371" s="10"/>
      <c r="F3371" s="25"/>
      <c r="G3371" s="10"/>
      <c r="H3371" s="10"/>
      <c r="I3371" s="10"/>
      <c r="J3371" s="10"/>
    </row>
    <row r="3372" spans="1:10" x14ac:dyDescent="0.25">
      <c r="A3372" s="10"/>
      <c r="B3372" s="10"/>
      <c r="C3372" s="10"/>
      <c r="D3372" s="10"/>
      <c r="E3372" s="10"/>
      <c r="F3372" s="25"/>
      <c r="G3372" s="10"/>
      <c r="H3372" s="10"/>
      <c r="I3372" s="10"/>
      <c r="J3372" s="10"/>
    </row>
    <row r="3373" spans="1:10" x14ac:dyDescent="0.25">
      <c r="A3373" s="10"/>
      <c r="B3373" s="10"/>
      <c r="C3373" s="10"/>
      <c r="D3373" s="10"/>
      <c r="E3373" s="10"/>
      <c r="F3373" s="25"/>
      <c r="G3373" s="10"/>
      <c r="H3373" s="10"/>
      <c r="I3373" s="10"/>
      <c r="J3373" s="10"/>
    </row>
    <row r="3374" spans="1:10" x14ac:dyDescent="0.25">
      <c r="A3374" s="10"/>
      <c r="B3374" s="10"/>
      <c r="C3374" s="10"/>
      <c r="D3374" s="10"/>
      <c r="E3374" s="10"/>
      <c r="F3374" s="25"/>
      <c r="G3374" s="10"/>
      <c r="H3374" s="10"/>
      <c r="I3374" s="10"/>
      <c r="J3374" s="10"/>
    </row>
    <row r="3375" spans="1:10" x14ac:dyDescent="0.25">
      <c r="A3375" s="10"/>
      <c r="B3375" s="10"/>
      <c r="C3375" s="10"/>
      <c r="D3375" s="10"/>
      <c r="E3375" s="10"/>
      <c r="F3375" s="25"/>
      <c r="G3375" s="10"/>
      <c r="H3375" s="10"/>
      <c r="I3375" s="10"/>
      <c r="J3375" s="10"/>
    </row>
    <row r="3376" spans="1:10" x14ac:dyDescent="0.25">
      <c r="A3376" s="10"/>
      <c r="B3376" s="10"/>
      <c r="C3376" s="10"/>
      <c r="D3376" s="10"/>
      <c r="E3376" s="10"/>
      <c r="F3376" s="25"/>
      <c r="G3376" s="10"/>
      <c r="H3376" s="10"/>
      <c r="I3376" s="10"/>
      <c r="J3376" s="10"/>
    </row>
    <row r="3377" spans="1:10" x14ac:dyDescent="0.25">
      <c r="A3377" s="10"/>
      <c r="B3377" s="10"/>
      <c r="C3377" s="10"/>
      <c r="D3377" s="10"/>
      <c r="E3377" s="10"/>
      <c r="F3377" s="25"/>
      <c r="G3377" s="10"/>
      <c r="H3377" s="10"/>
      <c r="I3377" s="10"/>
      <c r="J3377" s="10"/>
    </row>
    <row r="3378" spans="1:10" x14ac:dyDescent="0.25">
      <c r="A3378" s="10"/>
      <c r="B3378" s="10"/>
      <c r="C3378" s="10"/>
      <c r="D3378" s="10"/>
      <c r="E3378" s="10"/>
      <c r="F3378" s="25"/>
      <c r="G3378" s="10"/>
      <c r="H3378" s="10"/>
      <c r="I3378" s="10"/>
      <c r="J3378" s="10"/>
    </row>
    <row r="3379" spans="1:10" x14ac:dyDescent="0.25">
      <c r="A3379" s="10"/>
      <c r="B3379" s="10"/>
      <c r="C3379" s="10"/>
      <c r="D3379" s="10"/>
      <c r="E3379" s="10"/>
      <c r="F3379" s="25"/>
      <c r="G3379" s="10"/>
      <c r="H3379" s="10"/>
      <c r="I3379" s="10"/>
      <c r="J3379" s="10"/>
    </row>
    <row r="3380" spans="1:10" x14ac:dyDescent="0.25">
      <c r="A3380" s="10"/>
      <c r="B3380" s="10"/>
      <c r="C3380" s="10"/>
      <c r="D3380" s="10"/>
      <c r="E3380" s="10"/>
      <c r="F3380" s="25"/>
      <c r="G3380" s="10"/>
      <c r="H3380" s="10"/>
      <c r="I3380" s="10"/>
      <c r="J3380" s="10"/>
    </row>
    <row r="3381" spans="1:10" x14ac:dyDescent="0.25">
      <c r="A3381" s="10"/>
      <c r="B3381" s="10"/>
      <c r="C3381" s="10"/>
      <c r="D3381" s="10"/>
      <c r="E3381" s="10"/>
      <c r="F3381" s="25"/>
      <c r="G3381" s="10"/>
      <c r="H3381" s="10"/>
      <c r="I3381" s="10"/>
      <c r="J3381" s="10"/>
    </row>
    <row r="3382" spans="1:10" x14ac:dyDescent="0.25">
      <c r="A3382" s="10"/>
      <c r="B3382" s="10"/>
      <c r="C3382" s="10"/>
      <c r="D3382" s="10"/>
      <c r="E3382" s="10"/>
      <c r="F3382" s="25"/>
      <c r="G3382" s="10"/>
      <c r="H3382" s="10"/>
      <c r="I3382" s="10"/>
      <c r="J3382" s="10"/>
    </row>
    <row r="3383" spans="1:10" x14ac:dyDescent="0.25">
      <c r="A3383" s="10"/>
      <c r="B3383" s="10"/>
      <c r="C3383" s="10"/>
      <c r="D3383" s="10"/>
      <c r="E3383" s="10"/>
      <c r="F3383" s="25"/>
      <c r="G3383" s="10"/>
      <c r="H3383" s="10"/>
      <c r="I3383" s="10"/>
      <c r="J3383" s="10"/>
    </row>
    <row r="3384" spans="1:10" x14ac:dyDescent="0.25">
      <c r="A3384" s="10"/>
      <c r="B3384" s="10"/>
      <c r="C3384" s="10"/>
      <c r="D3384" s="10"/>
      <c r="E3384" s="10"/>
      <c r="F3384" s="25"/>
      <c r="G3384" s="10"/>
      <c r="H3384" s="10"/>
      <c r="I3384" s="10"/>
      <c r="J3384" s="10"/>
    </row>
    <row r="3385" spans="1:10" x14ac:dyDescent="0.25">
      <c r="A3385" s="10"/>
      <c r="B3385" s="10"/>
      <c r="C3385" s="10"/>
      <c r="D3385" s="10"/>
      <c r="E3385" s="10"/>
      <c r="F3385" s="25"/>
      <c r="G3385" s="10"/>
      <c r="H3385" s="10"/>
      <c r="I3385" s="10"/>
      <c r="J3385" s="10"/>
    </row>
    <row r="3386" spans="1:10" x14ac:dyDescent="0.25">
      <c r="A3386" s="10"/>
      <c r="B3386" s="10"/>
      <c r="C3386" s="10"/>
      <c r="D3386" s="10"/>
      <c r="E3386" s="10"/>
      <c r="F3386" s="25"/>
      <c r="G3386" s="10"/>
      <c r="H3386" s="10"/>
      <c r="I3386" s="10"/>
      <c r="J3386" s="10"/>
    </row>
    <row r="3387" spans="1:10" x14ac:dyDescent="0.25">
      <c r="A3387" s="10"/>
      <c r="B3387" s="10"/>
      <c r="C3387" s="10"/>
      <c r="D3387" s="10"/>
      <c r="E3387" s="10"/>
      <c r="F3387" s="25"/>
      <c r="G3387" s="10"/>
      <c r="H3387" s="10"/>
      <c r="I3387" s="10"/>
      <c r="J3387" s="10"/>
    </row>
    <row r="3388" spans="1:10" x14ac:dyDescent="0.25">
      <c r="A3388" s="10"/>
      <c r="B3388" s="10"/>
      <c r="C3388" s="10"/>
      <c r="D3388" s="10"/>
      <c r="E3388" s="10"/>
      <c r="F3388" s="25"/>
      <c r="G3388" s="10"/>
      <c r="H3388" s="10"/>
      <c r="I3388" s="10"/>
      <c r="J3388" s="10"/>
    </row>
    <row r="3389" spans="1:10" x14ac:dyDescent="0.25">
      <c r="A3389" s="10"/>
      <c r="B3389" s="10"/>
      <c r="C3389" s="10"/>
      <c r="D3389" s="10"/>
      <c r="E3389" s="10"/>
      <c r="F3389" s="25"/>
      <c r="G3389" s="10"/>
      <c r="H3389" s="10"/>
      <c r="I3389" s="10"/>
      <c r="J3389" s="10"/>
    </row>
    <row r="3390" spans="1:10" x14ac:dyDescent="0.25">
      <c r="A3390" s="10"/>
      <c r="B3390" s="10"/>
      <c r="C3390" s="10"/>
      <c r="D3390" s="10"/>
      <c r="E3390" s="10"/>
      <c r="F3390" s="25"/>
      <c r="G3390" s="10"/>
      <c r="H3390" s="10"/>
      <c r="I3390" s="10"/>
      <c r="J3390" s="10"/>
    </row>
    <row r="3391" spans="1:10" x14ac:dyDescent="0.25">
      <c r="A3391" s="10"/>
      <c r="B3391" s="10"/>
      <c r="C3391" s="10"/>
      <c r="D3391" s="10"/>
      <c r="E3391" s="10"/>
      <c r="F3391" s="25"/>
      <c r="G3391" s="10"/>
      <c r="H3391" s="10"/>
      <c r="I3391" s="10"/>
      <c r="J3391" s="10"/>
    </row>
    <row r="3392" spans="1:10" x14ac:dyDescent="0.25">
      <c r="A3392" s="10"/>
      <c r="B3392" s="10"/>
      <c r="C3392" s="10"/>
      <c r="D3392" s="10"/>
      <c r="E3392" s="10"/>
      <c r="F3392" s="25"/>
      <c r="G3392" s="10"/>
      <c r="H3392" s="10"/>
      <c r="I3392" s="10"/>
      <c r="J3392" s="10"/>
    </row>
    <row r="3393" spans="1:10" x14ac:dyDescent="0.25">
      <c r="A3393" s="10"/>
      <c r="B3393" s="10"/>
      <c r="C3393" s="10"/>
      <c r="D3393" s="10"/>
      <c r="E3393" s="10"/>
      <c r="F3393" s="25"/>
      <c r="G3393" s="10"/>
      <c r="H3393" s="10"/>
      <c r="I3393" s="10"/>
      <c r="J3393" s="10"/>
    </row>
    <row r="3394" spans="1:10" x14ac:dyDescent="0.25">
      <c r="A3394" s="10"/>
      <c r="B3394" s="10"/>
      <c r="C3394" s="10"/>
      <c r="D3394" s="10"/>
      <c r="E3394" s="10"/>
      <c r="F3394" s="25"/>
      <c r="G3394" s="10"/>
      <c r="H3394" s="10"/>
      <c r="I3394" s="10"/>
      <c r="J3394" s="10"/>
    </row>
    <row r="3395" spans="1:10" x14ac:dyDescent="0.25">
      <c r="A3395" s="10"/>
      <c r="B3395" s="10"/>
      <c r="C3395" s="10"/>
      <c r="D3395" s="10"/>
      <c r="E3395" s="10"/>
      <c r="F3395" s="25"/>
      <c r="G3395" s="10"/>
      <c r="H3395" s="10"/>
      <c r="I3395" s="10"/>
      <c r="J3395" s="10"/>
    </row>
    <row r="3396" spans="1:10" x14ac:dyDescent="0.25">
      <c r="A3396" s="10"/>
      <c r="B3396" s="10"/>
      <c r="C3396" s="10"/>
      <c r="D3396" s="10"/>
      <c r="E3396" s="10"/>
      <c r="F3396" s="25"/>
      <c r="G3396" s="10"/>
      <c r="H3396" s="10"/>
      <c r="I3396" s="10"/>
      <c r="J3396" s="10"/>
    </row>
    <row r="3397" spans="1:10" x14ac:dyDescent="0.25">
      <c r="A3397" s="10"/>
      <c r="B3397" s="10"/>
      <c r="C3397" s="10"/>
      <c r="D3397" s="10"/>
      <c r="E3397" s="10"/>
      <c r="F3397" s="25"/>
      <c r="G3397" s="10"/>
      <c r="H3397" s="10"/>
      <c r="I3397" s="10"/>
      <c r="J3397" s="10"/>
    </row>
    <row r="3398" spans="1:10" x14ac:dyDescent="0.25">
      <c r="A3398" s="10"/>
      <c r="B3398" s="10"/>
      <c r="C3398" s="10"/>
      <c r="D3398" s="10"/>
      <c r="E3398" s="10"/>
      <c r="F3398" s="25"/>
      <c r="G3398" s="10"/>
      <c r="H3398" s="10"/>
      <c r="I3398" s="10"/>
      <c r="J3398" s="10"/>
    </row>
    <row r="3399" spans="1:10" x14ac:dyDescent="0.25">
      <c r="A3399" s="10"/>
      <c r="B3399" s="10"/>
      <c r="C3399" s="10"/>
      <c r="D3399" s="10"/>
      <c r="E3399" s="10"/>
      <c r="F3399" s="25"/>
      <c r="G3399" s="10"/>
      <c r="H3399" s="10"/>
      <c r="I3399" s="10"/>
      <c r="J3399" s="10"/>
    </row>
    <row r="3400" spans="1:10" x14ac:dyDescent="0.25">
      <c r="A3400" s="10"/>
      <c r="B3400" s="10"/>
      <c r="C3400" s="10"/>
      <c r="D3400" s="10"/>
      <c r="E3400" s="10"/>
      <c r="F3400" s="25"/>
      <c r="G3400" s="10"/>
      <c r="H3400" s="10"/>
      <c r="I3400" s="10"/>
      <c r="J3400" s="10"/>
    </row>
    <row r="3401" spans="1:10" x14ac:dyDescent="0.25">
      <c r="A3401" s="10"/>
      <c r="B3401" s="10"/>
      <c r="C3401" s="10"/>
      <c r="D3401" s="10"/>
      <c r="E3401" s="10"/>
      <c r="F3401" s="25"/>
      <c r="G3401" s="10"/>
      <c r="H3401" s="10"/>
      <c r="I3401" s="10"/>
      <c r="J3401" s="10"/>
    </row>
    <row r="3402" spans="1:10" x14ac:dyDescent="0.25">
      <c r="A3402" s="10"/>
      <c r="B3402" s="10"/>
      <c r="C3402" s="10"/>
      <c r="D3402" s="10"/>
      <c r="E3402" s="10"/>
      <c r="F3402" s="25"/>
      <c r="G3402" s="10"/>
      <c r="H3402" s="10"/>
      <c r="I3402" s="10"/>
      <c r="J3402" s="10"/>
    </row>
    <row r="3403" spans="1:10" x14ac:dyDescent="0.25">
      <c r="A3403" s="10"/>
      <c r="B3403" s="10"/>
      <c r="C3403" s="10"/>
      <c r="D3403" s="10"/>
      <c r="E3403" s="10"/>
      <c r="F3403" s="25"/>
      <c r="G3403" s="10"/>
      <c r="H3403" s="10"/>
      <c r="I3403" s="10"/>
      <c r="J3403" s="10"/>
    </row>
    <row r="3404" spans="1:10" x14ac:dyDescent="0.25">
      <c r="A3404" s="10"/>
      <c r="B3404" s="10"/>
      <c r="C3404" s="10"/>
      <c r="D3404" s="10"/>
      <c r="E3404" s="10"/>
      <c r="F3404" s="25"/>
      <c r="G3404" s="10"/>
      <c r="H3404" s="10"/>
      <c r="I3404" s="10"/>
      <c r="J3404" s="10"/>
    </row>
    <row r="3405" spans="1:10" x14ac:dyDescent="0.25">
      <c r="A3405" s="10"/>
      <c r="B3405" s="10"/>
      <c r="C3405" s="10"/>
      <c r="D3405" s="10"/>
      <c r="E3405" s="10"/>
      <c r="F3405" s="25"/>
      <c r="G3405" s="10"/>
      <c r="H3405" s="10"/>
      <c r="I3405" s="10"/>
      <c r="J3405" s="10"/>
    </row>
    <row r="3406" spans="1:10" x14ac:dyDescent="0.25">
      <c r="A3406" s="10"/>
      <c r="B3406" s="10"/>
      <c r="C3406" s="10"/>
      <c r="D3406" s="10"/>
      <c r="E3406" s="10"/>
      <c r="F3406" s="25"/>
      <c r="G3406" s="10"/>
      <c r="H3406" s="10"/>
      <c r="I3406" s="10"/>
      <c r="J3406" s="10"/>
    </row>
    <row r="3407" spans="1:10" x14ac:dyDescent="0.25">
      <c r="A3407" s="10"/>
      <c r="B3407" s="10"/>
      <c r="C3407" s="10"/>
      <c r="D3407" s="10"/>
      <c r="E3407" s="10"/>
      <c r="F3407" s="25"/>
      <c r="G3407" s="10"/>
      <c r="H3407" s="10"/>
      <c r="I3407" s="10"/>
      <c r="J3407" s="10"/>
    </row>
    <row r="3408" spans="1:10" x14ac:dyDescent="0.25">
      <c r="A3408" s="10"/>
      <c r="B3408" s="10"/>
      <c r="C3408" s="10"/>
      <c r="D3408" s="10"/>
      <c r="E3408" s="10"/>
      <c r="F3408" s="25"/>
      <c r="G3408" s="10"/>
      <c r="H3408" s="10"/>
      <c r="I3408" s="10"/>
      <c r="J3408" s="10"/>
    </row>
    <row r="3409" spans="1:10" x14ac:dyDescent="0.25">
      <c r="A3409" s="10"/>
      <c r="B3409" s="10"/>
      <c r="C3409" s="10"/>
      <c r="D3409" s="10"/>
      <c r="E3409" s="10"/>
      <c r="F3409" s="25"/>
      <c r="G3409" s="10"/>
      <c r="H3409" s="10"/>
      <c r="I3409" s="10"/>
      <c r="J3409" s="10"/>
    </row>
    <row r="3410" spans="1:10" x14ac:dyDescent="0.25">
      <c r="A3410" s="10"/>
      <c r="B3410" s="10"/>
      <c r="C3410" s="10"/>
      <c r="D3410" s="10"/>
      <c r="E3410" s="10"/>
      <c r="F3410" s="25"/>
      <c r="G3410" s="10"/>
      <c r="H3410" s="10"/>
      <c r="I3410" s="10"/>
      <c r="J3410" s="10"/>
    </row>
    <row r="3411" spans="1:10" x14ac:dyDescent="0.25">
      <c r="A3411" s="10"/>
      <c r="B3411" s="10"/>
      <c r="C3411" s="10"/>
      <c r="D3411" s="10"/>
      <c r="E3411" s="10"/>
      <c r="F3411" s="25"/>
      <c r="G3411" s="10"/>
      <c r="H3411" s="10"/>
      <c r="I3411" s="10"/>
      <c r="J3411" s="10"/>
    </row>
    <row r="3412" spans="1:10" x14ac:dyDescent="0.25">
      <c r="A3412" s="10"/>
      <c r="B3412" s="10"/>
      <c r="C3412" s="10"/>
      <c r="D3412" s="10"/>
      <c r="E3412" s="10"/>
      <c r="F3412" s="25"/>
      <c r="G3412" s="10"/>
      <c r="H3412" s="10"/>
      <c r="I3412" s="10"/>
      <c r="J3412" s="10"/>
    </row>
    <row r="3413" spans="1:10" x14ac:dyDescent="0.25">
      <c r="A3413" s="10"/>
      <c r="B3413" s="10"/>
      <c r="C3413" s="10"/>
      <c r="D3413" s="10"/>
      <c r="E3413" s="10"/>
      <c r="F3413" s="25"/>
      <c r="G3413" s="10"/>
      <c r="H3413" s="10"/>
      <c r="I3413" s="10"/>
      <c r="J3413" s="10"/>
    </row>
    <row r="3414" spans="1:10" x14ac:dyDescent="0.25">
      <c r="A3414" s="10"/>
      <c r="B3414" s="10"/>
      <c r="C3414" s="10"/>
      <c r="D3414" s="10"/>
      <c r="E3414" s="10"/>
      <c r="F3414" s="25"/>
      <c r="G3414" s="10"/>
      <c r="H3414" s="10"/>
      <c r="I3414" s="10"/>
      <c r="J3414" s="10"/>
    </row>
    <row r="3415" spans="1:10" x14ac:dyDescent="0.25">
      <c r="A3415" s="10"/>
      <c r="B3415" s="10"/>
      <c r="C3415" s="10"/>
      <c r="D3415" s="10"/>
      <c r="E3415" s="10"/>
      <c r="F3415" s="25"/>
      <c r="G3415" s="10"/>
      <c r="H3415" s="10"/>
      <c r="I3415" s="10"/>
      <c r="J3415" s="10"/>
    </row>
    <row r="3416" spans="1:10" x14ac:dyDescent="0.25">
      <c r="A3416" s="10"/>
      <c r="B3416" s="10"/>
      <c r="C3416" s="10"/>
      <c r="D3416" s="10"/>
      <c r="E3416" s="10"/>
      <c r="F3416" s="25"/>
      <c r="G3416" s="10"/>
      <c r="H3416" s="10"/>
      <c r="I3416" s="10"/>
      <c r="J3416" s="10"/>
    </row>
    <row r="3417" spans="1:10" x14ac:dyDescent="0.25">
      <c r="A3417" s="10"/>
      <c r="B3417" s="10"/>
      <c r="C3417" s="10"/>
      <c r="D3417" s="10"/>
      <c r="E3417" s="10"/>
      <c r="F3417" s="25"/>
      <c r="G3417" s="10"/>
      <c r="H3417" s="10"/>
      <c r="I3417" s="10"/>
      <c r="J3417" s="10"/>
    </row>
    <row r="3418" spans="1:10" x14ac:dyDescent="0.25">
      <c r="A3418" s="10"/>
      <c r="B3418" s="10"/>
      <c r="C3418" s="10"/>
      <c r="D3418" s="10"/>
      <c r="E3418" s="10"/>
      <c r="F3418" s="25"/>
      <c r="G3418" s="10"/>
      <c r="H3418" s="10"/>
      <c r="I3418" s="10"/>
      <c r="J3418" s="10"/>
    </row>
    <row r="3419" spans="1:10" x14ac:dyDescent="0.25">
      <c r="A3419" s="10"/>
      <c r="B3419" s="10"/>
      <c r="C3419" s="10"/>
      <c r="D3419" s="10"/>
      <c r="E3419" s="10"/>
      <c r="F3419" s="25"/>
      <c r="G3419" s="10"/>
      <c r="H3419" s="10"/>
      <c r="I3419" s="10"/>
      <c r="J3419" s="10"/>
    </row>
    <row r="3420" spans="1:10" x14ac:dyDescent="0.25">
      <c r="A3420" s="10"/>
      <c r="B3420" s="10"/>
      <c r="C3420" s="10"/>
      <c r="D3420" s="10"/>
      <c r="E3420" s="10"/>
      <c r="F3420" s="25"/>
      <c r="G3420" s="10"/>
      <c r="H3420" s="10"/>
      <c r="I3420" s="10"/>
      <c r="J3420" s="10"/>
    </row>
    <row r="3421" spans="1:10" x14ac:dyDescent="0.25">
      <c r="A3421" s="10"/>
      <c r="B3421" s="10"/>
      <c r="C3421" s="10"/>
      <c r="D3421" s="10"/>
      <c r="E3421" s="10"/>
      <c r="F3421" s="25"/>
      <c r="G3421" s="10"/>
      <c r="H3421" s="10"/>
      <c r="I3421" s="10"/>
      <c r="J3421" s="10"/>
    </row>
    <row r="3422" spans="1:10" x14ac:dyDescent="0.25">
      <c r="A3422" s="10"/>
      <c r="B3422" s="10"/>
      <c r="C3422" s="10"/>
      <c r="D3422" s="10"/>
      <c r="E3422" s="10"/>
      <c r="F3422" s="25"/>
      <c r="G3422" s="10"/>
      <c r="H3422" s="10"/>
      <c r="I3422" s="10"/>
      <c r="J3422" s="10"/>
    </row>
    <row r="3423" spans="1:10" x14ac:dyDescent="0.25">
      <c r="A3423" s="10"/>
      <c r="B3423" s="10"/>
      <c r="C3423" s="10"/>
      <c r="D3423" s="10"/>
      <c r="E3423" s="10"/>
      <c r="F3423" s="25"/>
      <c r="G3423" s="10"/>
      <c r="H3423" s="10"/>
      <c r="I3423" s="10"/>
      <c r="J3423" s="10"/>
    </row>
    <row r="3424" spans="1:10" x14ac:dyDescent="0.25">
      <c r="A3424" s="10"/>
      <c r="B3424" s="10"/>
      <c r="C3424" s="10"/>
      <c r="D3424" s="10"/>
      <c r="E3424" s="10"/>
      <c r="F3424" s="25"/>
      <c r="G3424" s="10"/>
      <c r="H3424" s="10"/>
      <c r="I3424" s="10"/>
      <c r="J3424" s="10"/>
    </row>
    <row r="3425" spans="1:10" x14ac:dyDescent="0.25">
      <c r="A3425" s="10"/>
      <c r="B3425" s="10"/>
      <c r="C3425" s="10"/>
      <c r="D3425" s="10"/>
      <c r="E3425" s="10"/>
      <c r="F3425" s="25"/>
      <c r="G3425" s="10"/>
      <c r="H3425" s="10"/>
      <c r="I3425" s="10"/>
      <c r="J3425" s="10"/>
    </row>
    <row r="3426" spans="1:10" x14ac:dyDescent="0.25">
      <c r="A3426" s="10"/>
      <c r="B3426" s="10"/>
      <c r="C3426" s="10"/>
      <c r="D3426" s="10"/>
      <c r="E3426" s="10"/>
      <c r="F3426" s="25"/>
      <c r="G3426" s="10"/>
      <c r="H3426" s="10"/>
      <c r="I3426" s="10"/>
      <c r="J3426" s="10"/>
    </row>
    <row r="3427" spans="1:10" x14ac:dyDescent="0.25">
      <c r="A3427" s="10"/>
      <c r="B3427" s="10"/>
      <c r="C3427" s="10"/>
      <c r="D3427" s="10"/>
      <c r="E3427" s="10"/>
      <c r="F3427" s="25"/>
      <c r="G3427" s="10"/>
      <c r="H3427" s="10"/>
      <c r="I3427" s="10"/>
      <c r="J3427" s="10"/>
    </row>
    <row r="3428" spans="1:10" x14ac:dyDescent="0.25">
      <c r="A3428" s="10"/>
      <c r="B3428" s="10"/>
      <c r="C3428" s="10"/>
      <c r="D3428" s="10"/>
      <c r="E3428" s="10"/>
      <c r="F3428" s="25"/>
      <c r="G3428" s="10"/>
      <c r="H3428" s="10"/>
      <c r="I3428" s="10"/>
      <c r="J3428" s="10"/>
    </row>
    <row r="3429" spans="1:10" x14ac:dyDescent="0.25">
      <c r="A3429" s="10"/>
      <c r="B3429" s="10"/>
      <c r="C3429" s="10"/>
      <c r="D3429" s="10"/>
      <c r="E3429" s="10"/>
      <c r="F3429" s="25"/>
      <c r="G3429" s="10"/>
      <c r="H3429" s="10"/>
      <c r="I3429" s="10"/>
      <c r="J3429" s="10"/>
    </row>
    <row r="3430" spans="1:10" x14ac:dyDescent="0.25">
      <c r="A3430" s="10"/>
      <c r="B3430" s="10"/>
      <c r="C3430" s="10"/>
      <c r="D3430" s="10"/>
      <c r="E3430" s="10"/>
      <c r="F3430" s="25"/>
      <c r="G3430" s="10"/>
      <c r="H3430" s="10"/>
      <c r="I3430" s="10"/>
      <c r="J3430" s="10"/>
    </row>
    <row r="3431" spans="1:10" x14ac:dyDescent="0.25">
      <c r="A3431" s="10"/>
      <c r="B3431" s="10"/>
      <c r="C3431" s="10"/>
      <c r="D3431" s="10"/>
      <c r="E3431" s="10"/>
      <c r="F3431" s="25"/>
      <c r="G3431" s="10"/>
      <c r="H3431" s="10"/>
      <c r="I3431" s="10"/>
      <c r="J3431" s="10"/>
    </row>
    <row r="3432" spans="1:10" x14ac:dyDescent="0.25">
      <c r="A3432" s="10"/>
      <c r="B3432" s="10"/>
      <c r="C3432" s="10"/>
      <c r="D3432" s="10"/>
      <c r="E3432" s="10"/>
      <c r="F3432" s="25"/>
      <c r="G3432" s="10"/>
      <c r="H3432" s="10"/>
      <c r="I3432" s="10"/>
      <c r="J3432" s="10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2020-11-19T15:33:47Z</dcterms:modified>
</cp:coreProperties>
</file>